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2.xml" ContentType="application/vnd.openxmlformats-officedocument.spreadsheetml.comments+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5"/>
  <workbookPr codeName="TämäTyökirja"/>
  <mc:AlternateContent xmlns:mc="http://schemas.openxmlformats.org/markup-compatibility/2006">
    <mc:Choice Requires="x15">
      <x15ac:absPath xmlns:x15ac="http://schemas.microsoft.com/office/spreadsheetml/2010/11/ac" url="https://rakennustieto-my.sharepoint.com/personal/petri_jaarto_rakennustieto_fi/Documents/Tiedostot/RT/luokitus/kriteerit_voimassa/liitteet/"/>
    </mc:Choice>
  </mc:AlternateContent>
  <xr:revisionPtr revIDLastSave="0" documentId="8_{7280EC71-F736-434E-9284-C37526DFF2AB}" xr6:coauthVersionLast="47" xr6:coauthVersionMax="47" xr10:uidLastSave="{00000000-0000-0000-0000-000000000000}"/>
  <workbookProtection workbookAlgorithmName="SHA-512" workbookHashValue="uvRifxdSjdYH7lqyL5c9aabsQ2AJ3uBSdtlXZ/U3IiJJ2tTIKsmC1XOjoFplYRhkgvrYEPKkwHSXo7LjGC30Wg==" workbookSaltValue="j4FcATc17lL/bggNC3LfUg==" workbookSpinCount="100000" lockStructure="1"/>
  <bookViews>
    <workbookView xWindow="-120" yWindow="-120" windowWidth="29040" windowHeight="15720" firstSheet="1" activeTab="1" xr2:uid="{00000000-000D-0000-FFFF-FFFF00000000}"/>
  </bookViews>
  <sheets>
    <sheet name="OHJE" sheetId="4" r:id="rId1"/>
    <sheet name="CO2 laskenta" sheetId="7" r:id="rId2"/>
    <sheet name="PK laskenta" sheetId="2" r:id="rId3"/>
    <sheet name="Vertailutaso" sheetId="3" state="hidden" r:id="rId4"/>
    <sheet name="Energian yksikköpäästöt" sheetId="6" state="hidden" r:id="rId5"/>
    <sheet name="Taul1" sheetId="5" state="hidden" r:id="rId6"/>
  </sheets>
  <externalReferences>
    <externalReference r:id="rId7"/>
  </externalReferences>
  <definedNames>
    <definedName name="_xlnm.Print_Area" localSheetId="1">'CO2 laskenta'!$A$1:$K$33</definedName>
    <definedName name="_xlnm.Print_Area" localSheetId="0">OHJE!$A$1:$B$35</definedName>
    <definedName name="_xlnm.Print_Area" localSheetId="2">'PK laskenta'!$A$1:$F$35</definedName>
    <definedName name="_xlnm.Print_Area" localSheetId="3">Vertailutaso!#REF!</definedName>
    <definedName name="_xlnm.Print_Area">#N/A</definedName>
    <definedName name="Valmistumisvuosi">[1]Tiedot!$D$19</definedName>
    <definedName name="YMkausi">[1]Tiedot!$D$20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8" i="3" l="1"/>
  <c r="D16" i="7" s="1"/>
  <c r="H31" i="3"/>
  <c r="H32" i="3"/>
  <c r="H33" i="3"/>
  <c r="H34" i="3"/>
  <c r="H35" i="3"/>
  <c r="H36" i="3"/>
  <c r="H37" i="3"/>
  <c r="H30" i="3"/>
  <c r="Q47" i="3"/>
  <c r="O31" i="3"/>
  <c r="O32" i="3"/>
  <c r="O33" i="3"/>
  <c r="O47" i="3"/>
  <c r="O34" i="3"/>
  <c r="O37" i="3" s="1"/>
  <c r="O35" i="3"/>
  <c r="O36" i="3"/>
  <c r="R37" i="3"/>
  <c r="R30" i="3"/>
  <c r="P37" i="3"/>
  <c r="P30" i="3"/>
  <c r="D17" i="2"/>
  <c r="D16" i="2"/>
  <c r="D15" i="2"/>
  <c r="D14" i="2"/>
  <c r="D13" i="2"/>
  <c r="D11" i="2"/>
  <c r="C5" i="6"/>
  <c r="A63" i="2"/>
  <c r="B63" i="2"/>
  <c r="C63" i="2"/>
  <c r="E63" i="2"/>
  <c r="A64" i="2"/>
  <c r="B64" i="2"/>
  <c r="C64" i="2"/>
  <c r="A65" i="2"/>
  <c r="B65" i="2"/>
  <c r="C65" i="2"/>
  <c r="D65" i="2"/>
  <c r="E65" i="2"/>
  <c r="A66" i="2"/>
  <c r="B66" i="2"/>
  <c r="C66" i="2"/>
  <c r="D66" i="2"/>
  <c r="E66" i="2"/>
  <c r="B67" i="2"/>
  <c r="C67" i="2"/>
  <c r="D67" i="2"/>
  <c r="E67" i="2"/>
  <c r="A68" i="2"/>
  <c r="B68" i="2"/>
  <c r="C68" i="2"/>
  <c r="D68" i="2"/>
  <c r="E68" i="2"/>
  <c r="A11" i="3"/>
  <c r="D24" i="2"/>
  <c r="D25" i="2"/>
  <c r="D26" i="2"/>
  <c r="D27" i="2"/>
  <c r="D28" i="2"/>
  <c r="D29" i="2"/>
  <c r="D30" i="2"/>
  <c r="D31" i="2"/>
  <c r="D32" i="2"/>
  <c r="D23" i="2"/>
  <c r="B4" i="2"/>
  <c r="B3" i="2"/>
  <c r="B6" i="2"/>
  <c r="B5" i="2"/>
  <c r="D21" i="2"/>
  <c r="D20" i="2"/>
  <c r="D19" i="2"/>
  <c r="D65" i="7"/>
  <c r="B65" i="7"/>
  <c r="A65" i="7"/>
  <c r="B63" i="7"/>
  <c r="A63" i="7"/>
  <c r="D62" i="7"/>
  <c r="C62" i="7"/>
  <c r="B62" i="7"/>
  <c r="A62" i="7"/>
  <c r="B61" i="7"/>
  <c r="A61" i="7"/>
  <c r="B60" i="7"/>
  <c r="A60" i="7"/>
  <c r="D41" i="7"/>
  <c r="B41" i="7"/>
  <c r="A41" i="7"/>
  <c r="B39" i="7"/>
  <c r="A39" i="7"/>
  <c r="D38" i="7"/>
  <c r="C38" i="7"/>
  <c r="B38" i="7"/>
  <c r="A38" i="7"/>
  <c r="B37" i="7"/>
  <c r="A37" i="7"/>
  <c r="B36" i="7"/>
  <c r="A36" i="7"/>
  <c r="H29" i="7"/>
  <c r="C29" i="7"/>
  <c r="C65" i="7" s="1"/>
  <c r="I28" i="7"/>
  <c r="D27" i="7"/>
  <c r="C27" i="7"/>
  <c r="I26" i="7"/>
  <c r="I25" i="7"/>
  <c r="D25" i="7"/>
  <c r="C25" i="7"/>
  <c r="I24" i="7"/>
  <c r="B101" i="6"/>
  <c r="C101" i="6"/>
  <c r="D101" i="6"/>
  <c r="B102" i="6"/>
  <c r="C102" i="6"/>
  <c r="D102" i="6"/>
  <c r="B103" i="6"/>
  <c r="C103" i="6"/>
  <c r="D103" i="6"/>
  <c r="B104" i="6"/>
  <c r="C104" i="6"/>
  <c r="D104" i="6"/>
  <c r="B105" i="6"/>
  <c r="C105" i="6"/>
  <c r="D105" i="6"/>
  <c r="B106" i="6"/>
  <c r="C106" i="6"/>
  <c r="D106" i="6"/>
  <c r="B107" i="6"/>
  <c r="C107" i="6"/>
  <c r="D107" i="6"/>
  <c r="B108" i="6"/>
  <c r="C108" i="6"/>
  <c r="D108" i="6"/>
  <c r="B91" i="6"/>
  <c r="C91" i="6"/>
  <c r="D91" i="6"/>
  <c r="B92" i="6"/>
  <c r="C92" i="6"/>
  <c r="D92" i="6"/>
  <c r="B93" i="6"/>
  <c r="C93" i="6"/>
  <c r="D93" i="6"/>
  <c r="B94" i="6"/>
  <c r="C94" i="6"/>
  <c r="D94" i="6"/>
  <c r="B95" i="6"/>
  <c r="C95" i="6"/>
  <c r="D95" i="6"/>
  <c r="B96" i="6"/>
  <c r="C96" i="6"/>
  <c r="D96" i="6"/>
  <c r="B97" i="6"/>
  <c r="C97" i="6"/>
  <c r="D97" i="6"/>
  <c r="B98" i="6"/>
  <c r="C98" i="6"/>
  <c r="D98" i="6"/>
  <c r="C90" i="6"/>
  <c r="D90" i="6"/>
  <c r="B90" i="6"/>
  <c r="B81" i="6"/>
  <c r="C81" i="6"/>
  <c r="D81" i="6"/>
  <c r="B82" i="6"/>
  <c r="C82" i="6"/>
  <c r="D82" i="6"/>
  <c r="B83" i="6"/>
  <c r="C83" i="6"/>
  <c r="D83" i="6"/>
  <c r="B84" i="6"/>
  <c r="C84" i="6"/>
  <c r="D84" i="6"/>
  <c r="B85" i="6"/>
  <c r="C85" i="6"/>
  <c r="D85" i="6"/>
  <c r="B86" i="6"/>
  <c r="C86" i="6"/>
  <c r="D86" i="6"/>
  <c r="B87" i="6"/>
  <c r="C87" i="6"/>
  <c r="D87" i="6"/>
  <c r="B88" i="6"/>
  <c r="C88" i="6"/>
  <c r="D88" i="6"/>
  <c r="C80" i="6"/>
  <c r="D80" i="6"/>
  <c r="B80" i="6"/>
  <c r="B71" i="6"/>
  <c r="C71" i="6"/>
  <c r="D71" i="6"/>
  <c r="B72" i="6"/>
  <c r="C72" i="6"/>
  <c r="D72" i="6"/>
  <c r="B73" i="6"/>
  <c r="C73" i="6"/>
  <c r="D73" i="6"/>
  <c r="B74" i="6"/>
  <c r="C74" i="6"/>
  <c r="D74" i="6"/>
  <c r="B75" i="6"/>
  <c r="C75" i="6"/>
  <c r="D75" i="6"/>
  <c r="B76" i="6"/>
  <c r="C76" i="6"/>
  <c r="D76" i="6"/>
  <c r="B77" i="6"/>
  <c r="C77" i="6"/>
  <c r="D77" i="6"/>
  <c r="B78" i="6"/>
  <c r="C78" i="6"/>
  <c r="D78" i="6"/>
  <c r="C70" i="6"/>
  <c r="D70" i="6"/>
  <c r="B70" i="6"/>
  <c r="B61" i="6"/>
  <c r="C61" i="6"/>
  <c r="D61" i="6"/>
  <c r="B62" i="6"/>
  <c r="C62" i="6"/>
  <c r="D62" i="6"/>
  <c r="B63" i="6"/>
  <c r="C63" i="6"/>
  <c r="D63" i="6"/>
  <c r="B64" i="6"/>
  <c r="C64" i="6"/>
  <c r="D64" i="6"/>
  <c r="B65" i="6"/>
  <c r="C65" i="6"/>
  <c r="D65" i="6"/>
  <c r="B66" i="6"/>
  <c r="C66" i="6"/>
  <c r="D66" i="6"/>
  <c r="B67" i="6"/>
  <c r="C67" i="6"/>
  <c r="D67" i="6"/>
  <c r="B68" i="6"/>
  <c r="C68" i="6"/>
  <c r="D68" i="6"/>
  <c r="C60" i="6"/>
  <c r="D60" i="6"/>
  <c r="B60" i="6"/>
  <c r="B51" i="6"/>
  <c r="C51" i="6"/>
  <c r="D51" i="6"/>
  <c r="B52" i="6"/>
  <c r="C52" i="6"/>
  <c r="D52" i="6"/>
  <c r="B53" i="6"/>
  <c r="C53" i="6"/>
  <c r="D53" i="6"/>
  <c r="B54" i="6"/>
  <c r="C54" i="6"/>
  <c r="D54" i="6"/>
  <c r="B55" i="6"/>
  <c r="C55" i="6"/>
  <c r="D55" i="6"/>
  <c r="B56" i="6"/>
  <c r="C56" i="6"/>
  <c r="D56" i="6"/>
  <c r="B57" i="6"/>
  <c r="C57" i="6"/>
  <c r="D57" i="6"/>
  <c r="B58" i="6"/>
  <c r="C58" i="6"/>
  <c r="D58" i="6"/>
  <c r="C50" i="6"/>
  <c r="D50" i="6"/>
  <c r="B50" i="6"/>
  <c r="B41" i="6"/>
  <c r="C41" i="6"/>
  <c r="D41" i="6"/>
  <c r="B42" i="6"/>
  <c r="C42" i="6"/>
  <c r="D42" i="6"/>
  <c r="B43" i="6"/>
  <c r="C43" i="6"/>
  <c r="D43" i="6"/>
  <c r="B44" i="6"/>
  <c r="C44" i="6"/>
  <c r="D44" i="6"/>
  <c r="B45" i="6"/>
  <c r="C45" i="6"/>
  <c r="D45" i="6"/>
  <c r="B46" i="6"/>
  <c r="C46" i="6"/>
  <c r="D46" i="6"/>
  <c r="B47" i="6"/>
  <c r="C47" i="6"/>
  <c r="D47" i="6"/>
  <c r="B48" i="6"/>
  <c r="C48" i="6"/>
  <c r="D48" i="6"/>
  <c r="C40" i="6"/>
  <c r="D40" i="6"/>
  <c r="B40" i="6"/>
  <c r="B31" i="6"/>
  <c r="C31" i="6"/>
  <c r="D31" i="6"/>
  <c r="B32" i="6"/>
  <c r="C32" i="6"/>
  <c r="D32" i="6"/>
  <c r="B33" i="6"/>
  <c r="C33" i="6"/>
  <c r="D33" i="6"/>
  <c r="B34" i="6"/>
  <c r="C34" i="6"/>
  <c r="D34" i="6"/>
  <c r="B35" i="6"/>
  <c r="C35" i="6"/>
  <c r="D35" i="6"/>
  <c r="B36" i="6"/>
  <c r="C36" i="6"/>
  <c r="D36" i="6"/>
  <c r="B37" i="6"/>
  <c r="C37" i="6"/>
  <c r="D37" i="6"/>
  <c r="B38" i="6"/>
  <c r="C38" i="6"/>
  <c r="D38" i="6"/>
  <c r="C30" i="6"/>
  <c r="D30" i="6"/>
  <c r="B30" i="6"/>
  <c r="B21" i="6"/>
  <c r="C21" i="6"/>
  <c r="D21" i="6"/>
  <c r="B22" i="6"/>
  <c r="C22" i="6"/>
  <c r="D22" i="6"/>
  <c r="B23" i="6"/>
  <c r="C23" i="6"/>
  <c r="D23" i="6"/>
  <c r="B24" i="6"/>
  <c r="C24" i="6"/>
  <c r="D24" i="6"/>
  <c r="B25" i="6"/>
  <c r="C25" i="6"/>
  <c r="D25" i="6"/>
  <c r="B26" i="6"/>
  <c r="C26" i="6"/>
  <c r="D26" i="6"/>
  <c r="B27" i="6"/>
  <c r="C27" i="6"/>
  <c r="D27" i="6"/>
  <c r="B28" i="6"/>
  <c r="C28" i="6"/>
  <c r="D28" i="6"/>
  <c r="C20" i="6"/>
  <c r="D20" i="6"/>
  <c r="B20" i="6"/>
  <c r="C11" i="6"/>
  <c r="C12" i="6"/>
  <c r="C13" i="6"/>
  <c r="C14" i="6"/>
  <c r="C15" i="6"/>
  <c r="C16" i="6"/>
  <c r="C17" i="6"/>
  <c r="C18" i="6"/>
  <c r="D11" i="6"/>
  <c r="D12" i="6"/>
  <c r="D13" i="6"/>
  <c r="D14" i="6"/>
  <c r="D15" i="6"/>
  <c r="D16" i="6"/>
  <c r="D17" i="6"/>
  <c r="D18" i="6"/>
  <c r="D10" i="6"/>
  <c r="C10" i="6"/>
  <c r="B11" i="6"/>
  <c r="B12" i="6"/>
  <c r="B13" i="6"/>
  <c r="B14" i="6"/>
  <c r="B15" i="6"/>
  <c r="B16" i="6"/>
  <c r="B17" i="6"/>
  <c r="B18" i="6"/>
  <c r="B10" i="6"/>
  <c r="G5" i="6"/>
  <c r="D37" i="7" l="1"/>
  <c r="D61" i="7"/>
  <c r="C16" i="7"/>
  <c r="F16" i="7" s="1"/>
  <c r="E29" i="7"/>
  <c r="C41" i="7"/>
  <c r="F29" i="7"/>
  <c r="E5" i="6"/>
  <c r="F5" i="6"/>
  <c r="G42" i="6"/>
  <c r="E44" i="6"/>
  <c r="F49" i="6"/>
  <c r="G48" i="6"/>
  <c r="E36" i="6"/>
  <c r="E46" i="6"/>
  <c r="G41" i="6"/>
  <c r="E49" i="6"/>
  <c r="G46" i="6"/>
  <c r="F50" i="6"/>
  <c r="E31" i="6"/>
  <c r="E38" i="6"/>
  <c r="E42" i="6"/>
  <c r="G50" i="6"/>
  <c r="G40" i="6"/>
  <c r="G44" i="6"/>
  <c r="G47" i="6"/>
  <c r="E45" i="6"/>
  <c r="G49" i="6"/>
  <c r="E50" i="6"/>
  <c r="E39" i="6"/>
  <c r="G45" i="6"/>
  <c r="E47" i="6"/>
  <c r="E40" i="6"/>
  <c r="E48" i="6"/>
  <c r="G43" i="6"/>
  <c r="F48" i="6"/>
  <c r="G39" i="6"/>
  <c r="C61" i="7" l="1"/>
  <c r="C37" i="7"/>
  <c r="E16" i="7"/>
  <c r="G26" i="6"/>
  <c r="G21" i="6"/>
  <c r="G33" i="6"/>
  <c r="E32" i="6"/>
  <c r="G17" i="6"/>
  <c r="G20" i="6"/>
  <c r="G25" i="6"/>
  <c r="E41" i="6"/>
  <c r="G36" i="6"/>
  <c r="E30" i="6"/>
  <c r="E43" i="6"/>
  <c r="G24" i="6"/>
  <c r="E37" i="6"/>
  <c r="E17" i="6"/>
  <c r="G32" i="6"/>
  <c r="E14" i="6"/>
  <c r="G29" i="6"/>
  <c r="G14" i="6"/>
  <c r="G38" i="6"/>
  <c r="E22" i="6"/>
  <c r="G12" i="6"/>
  <c r="G13" i="6"/>
  <c r="E27" i="6"/>
  <c r="G27" i="6"/>
  <c r="G10" i="6"/>
  <c r="G18" i="6"/>
  <c r="F33" i="6"/>
  <c r="F38" i="6"/>
  <c r="G15" i="6"/>
  <c r="E35" i="6"/>
  <c r="G19" i="6"/>
  <c r="G31" i="6"/>
  <c r="G37" i="6"/>
  <c r="E12" i="6"/>
  <c r="G11" i="6"/>
  <c r="G6" i="6" s="1"/>
  <c r="G35" i="6"/>
  <c r="F20" i="6"/>
  <c r="G16" i="6"/>
  <c r="E29" i="6"/>
  <c r="G28" i="6"/>
  <c r="G23" i="6"/>
  <c r="G22" i="6"/>
  <c r="E34" i="6"/>
  <c r="E16" i="6"/>
  <c r="G34" i="6"/>
  <c r="G30" i="6"/>
  <c r="E26" i="6"/>
  <c r="F42" i="6"/>
  <c r="G9" i="6"/>
  <c r="E28" i="6"/>
  <c r="E33" i="6"/>
  <c r="F18" i="6"/>
  <c r="F11" i="6"/>
  <c r="F6" i="6" s="1"/>
  <c r="E25" i="6"/>
  <c r="F15" i="6"/>
  <c r="E23" i="6"/>
  <c r="F29" i="6"/>
  <c r="F24" i="6"/>
  <c r="F30" i="6"/>
  <c r="F26" i="6"/>
  <c r="F25" i="6"/>
  <c r="E21" i="6"/>
  <c r="E13" i="6"/>
  <c r="F22" i="6"/>
  <c r="F41" i="6"/>
  <c r="F27" i="6"/>
  <c r="F17" i="6"/>
  <c r="F16" i="6"/>
  <c r="F44" i="6"/>
  <c r="E10" i="6"/>
  <c r="E9" i="6"/>
  <c r="F36" i="6"/>
  <c r="F21" i="6"/>
  <c r="F45" i="6"/>
  <c r="E11" i="6"/>
  <c r="E6" i="6" s="1"/>
  <c r="F37" i="6"/>
  <c r="F35" i="6"/>
  <c r="F14" i="6"/>
  <c r="F13" i="6"/>
  <c r="F12" i="6"/>
  <c r="F32" i="6"/>
  <c r="F31" i="6"/>
  <c r="F43" i="6"/>
  <c r="F9" i="6"/>
  <c r="F10" i="6"/>
  <c r="E24" i="6"/>
  <c r="F34" i="6"/>
  <c r="F47" i="6"/>
  <c r="E19" i="6"/>
  <c r="E20" i="6"/>
  <c r="F40" i="6"/>
  <c r="F39" i="6"/>
  <c r="F28" i="6"/>
  <c r="E15" i="6"/>
  <c r="F19" i="6"/>
  <c r="E18" i="6"/>
  <c r="F46" i="6"/>
  <c r="F23" i="6"/>
  <c r="J24" i="7" l="1"/>
  <c r="J26" i="7"/>
  <c r="J28" i="7"/>
  <c r="L31" i="3"/>
  <c r="L32" i="3"/>
  <c r="L35" i="3"/>
  <c r="L34" i="3"/>
  <c r="L33" i="3"/>
  <c r="L37" i="3"/>
  <c r="L36" i="3"/>
  <c r="L30" i="3"/>
  <c r="E30" i="3"/>
  <c r="C36" i="3"/>
  <c r="B36" i="3"/>
  <c r="F30" i="3" l="1"/>
  <c r="O30" i="3"/>
  <c r="D28" i="7"/>
  <c r="C28" i="7"/>
  <c r="A38" i="3"/>
  <c r="F32" i="3"/>
  <c r="F33" i="3"/>
  <c r="F34" i="3"/>
  <c r="F35" i="3"/>
  <c r="F36" i="3"/>
  <c r="F31" i="3"/>
  <c r="E40" i="3"/>
  <c r="D41" i="3"/>
  <c r="E41" i="3" s="1"/>
  <c r="L38" i="3" l="1"/>
  <c r="K38" i="3"/>
  <c r="F41" i="3"/>
  <c r="C38" i="3"/>
  <c r="H38" i="3"/>
  <c r="J38" i="3"/>
  <c r="F38" i="3"/>
  <c r="B38" i="3"/>
  <c r="E38" i="3"/>
  <c r="D38" i="3"/>
  <c r="S19" i="3"/>
  <c r="S20" i="3"/>
  <c r="S21" i="3"/>
  <c r="S22" i="3"/>
  <c r="S23" i="3"/>
  <c r="S24" i="3"/>
  <c r="S25" i="3"/>
  <c r="S18" i="3"/>
  <c r="D15" i="7" l="1"/>
  <c r="C15" i="7" s="1"/>
  <c r="E22" i="2"/>
  <c r="C43" i="2" s="1"/>
  <c r="D14" i="7"/>
  <c r="D21" i="7" s="1"/>
  <c r="E18" i="2"/>
  <c r="E12" i="2"/>
  <c r="D13" i="7"/>
  <c r="D20" i="7" s="1"/>
  <c r="D22" i="7"/>
  <c r="C22" i="7" s="1"/>
  <c r="D17" i="7"/>
  <c r="C17" i="7" s="1"/>
  <c r="E10" i="2"/>
  <c r="D10" i="2" s="1"/>
  <c r="D12" i="7"/>
  <c r="S4" i="3"/>
  <c r="S5" i="3"/>
  <c r="S6" i="3"/>
  <c r="S7" i="3"/>
  <c r="S8" i="3"/>
  <c r="S9" i="3"/>
  <c r="S10" i="3"/>
  <c r="S3" i="3"/>
  <c r="H8" i="5"/>
  <c r="J8" i="5" s="1"/>
  <c r="H9" i="5"/>
  <c r="J9" i="5" s="1"/>
  <c r="H10" i="5"/>
  <c r="J10" i="5" s="1"/>
  <c r="H11" i="5"/>
  <c r="J11" i="5" s="1"/>
  <c r="N11" i="5" s="1"/>
  <c r="M11" i="5" s="1"/>
  <c r="H12" i="5"/>
  <c r="J12" i="5" s="1"/>
  <c r="H13" i="5"/>
  <c r="J13" i="5" s="1"/>
  <c r="I13" i="5"/>
  <c r="P13" i="5" s="1"/>
  <c r="H14" i="5"/>
  <c r="J14" i="5" s="1"/>
  <c r="H7" i="5"/>
  <c r="J7" i="5" s="1"/>
  <c r="A4" i="5"/>
  <c r="L4" i="3"/>
  <c r="L5" i="3"/>
  <c r="L6" i="3"/>
  <c r="L7" i="3"/>
  <c r="L8" i="3"/>
  <c r="L9" i="3"/>
  <c r="L10" i="3"/>
  <c r="L3" i="3"/>
  <c r="C12" i="7" l="1"/>
  <c r="D19" i="7"/>
  <c r="C19" i="7" s="1"/>
  <c r="C40" i="2"/>
  <c r="C21" i="7"/>
  <c r="C14" i="7"/>
  <c r="C20" i="7"/>
  <c r="C13" i="7"/>
  <c r="E64" i="2"/>
  <c r="D12" i="2"/>
  <c r="F12" i="2" s="1"/>
  <c r="C41" i="2"/>
  <c r="D18" i="2"/>
  <c r="C42" i="2"/>
  <c r="D22" i="2"/>
  <c r="E34" i="2"/>
  <c r="D11" i="7"/>
  <c r="I7" i="5"/>
  <c r="P7" i="5" s="1"/>
  <c r="N7" i="5"/>
  <c r="M7" i="5" s="1"/>
  <c r="O7" i="5"/>
  <c r="I11" i="5"/>
  <c r="K11" i="5" s="1"/>
  <c r="I9" i="5"/>
  <c r="N14" i="5"/>
  <c r="M14" i="5" s="1"/>
  <c r="N10" i="5"/>
  <c r="M10" i="5" s="1"/>
  <c r="K13" i="5"/>
  <c r="N13" i="5"/>
  <c r="M13" i="5" s="1"/>
  <c r="N9" i="5"/>
  <c r="M9" i="5" s="1"/>
  <c r="O13" i="5"/>
  <c r="I14" i="5"/>
  <c r="I12" i="5"/>
  <c r="I10" i="5"/>
  <c r="I8" i="5"/>
  <c r="N12" i="5"/>
  <c r="M12" i="5" s="1"/>
  <c r="N8" i="5"/>
  <c r="M8" i="5" s="1"/>
  <c r="E20" i="3"/>
  <c r="H20" i="3" s="1"/>
  <c r="L20" i="3" s="1"/>
  <c r="F20" i="3"/>
  <c r="D5" i="3" s="1"/>
  <c r="E25" i="3"/>
  <c r="F25" i="3" s="1"/>
  <c r="D10" i="3" s="1"/>
  <c r="E24" i="3"/>
  <c r="H24" i="3" s="1"/>
  <c r="F24" i="3"/>
  <c r="D9" i="3" s="1"/>
  <c r="E23" i="3"/>
  <c r="H23" i="3" s="1"/>
  <c r="F23" i="3"/>
  <c r="D8" i="3" s="1"/>
  <c r="E22" i="3"/>
  <c r="H22" i="3" s="1"/>
  <c r="R20" i="3"/>
  <c r="E21" i="3"/>
  <c r="H21" i="3" s="1"/>
  <c r="L21" i="3" s="1"/>
  <c r="F21" i="3"/>
  <c r="D6" i="3" s="1"/>
  <c r="E19" i="3"/>
  <c r="H19" i="3" s="1"/>
  <c r="E18" i="3"/>
  <c r="F18" i="3" s="1"/>
  <c r="R25" i="3"/>
  <c r="R24" i="3"/>
  <c r="R23" i="3"/>
  <c r="R22" i="3"/>
  <c r="R21" i="3"/>
  <c r="R19" i="3"/>
  <c r="R18" i="3"/>
  <c r="H25" i="3" l="1"/>
  <c r="M25" i="3" s="1"/>
  <c r="C10" i="3" s="1"/>
  <c r="G10" i="3" s="1"/>
  <c r="K10" i="3" s="1"/>
  <c r="C11" i="7"/>
  <c r="C36" i="7" s="1"/>
  <c r="B43" i="2"/>
  <c r="F22" i="2"/>
  <c r="D63" i="2"/>
  <c r="B42" i="2"/>
  <c r="D64" i="2"/>
  <c r="B41" i="2"/>
  <c r="F10" i="2"/>
  <c r="B40" i="2"/>
  <c r="D34" i="2"/>
  <c r="F34" i="2" s="1"/>
  <c r="D36" i="7"/>
  <c r="D60" i="7"/>
  <c r="C18" i="7"/>
  <c r="D18" i="7"/>
  <c r="K7" i="5"/>
  <c r="G4" i="5"/>
  <c r="P8" i="5"/>
  <c r="O8" i="5"/>
  <c r="P9" i="5"/>
  <c r="O9" i="5"/>
  <c r="K8" i="5"/>
  <c r="E11" i="3"/>
  <c r="R11" i="3"/>
  <c r="P10" i="5"/>
  <c r="O10" i="5"/>
  <c r="P11" i="5"/>
  <c r="O11" i="5"/>
  <c r="K10" i="5"/>
  <c r="P12" i="5"/>
  <c r="O12" i="5"/>
  <c r="K12" i="5"/>
  <c r="D4" i="5"/>
  <c r="L25" i="3"/>
  <c r="B10" i="3" s="1"/>
  <c r="F10" i="3" s="1"/>
  <c r="J10" i="3" s="1"/>
  <c r="P14" i="5"/>
  <c r="O14" i="5"/>
  <c r="K9" i="5"/>
  <c r="K14" i="5"/>
  <c r="I11" i="3"/>
  <c r="N21" i="3"/>
  <c r="L11" i="3"/>
  <c r="H11" i="3"/>
  <c r="N25" i="3"/>
  <c r="L23" i="3"/>
  <c r="N23" i="3"/>
  <c r="M23" i="3"/>
  <c r="C8" i="3" s="1"/>
  <c r="G8" i="3" s="1"/>
  <c r="K8" i="3" s="1"/>
  <c r="B6" i="3"/>
  <c r="F6" i="3" s="1"/>
  <c r="J6" i="3" s="1"/>
  <c r="L24" i="3"/>
  <c r="B9" i="3" s="1"/>
  <c r="F9" i="3" s="1"/>
  <c r="M24" i="3"/>
  <c r="C9" i="3" s="1"/>
  <c r="G9" i="3" s="1"/>
  <c r="K9" i="3" s="1"/>
  <c r="M21" i="3"/>
  <c r="C6" i="3" s="1"/>
  <c r="G6" i="3" s="1"/>
  <c r="K6" i="3" s="1"/>
  <c r="F19" i="3"/>
  <c r="L19" i="3" s="1"/>
  <c r="B4" i="3" s="1"/>
  <c r="F22" i="3"/>
  <c r="D7" i="3" s="1"/>
  <c r="N19" i="3"/>
  <c r="M19" i="3"/>
  <c r="C4" i="3" s="1"/>
  <c r="G4" i="3" s="1"/>
  <c r="K4" i="3" s="1"/>
  <c r="L22" i="3"/>
  <c r="M22" i="3"/>
  <c r="C7" i="3" s="1"/>
  <c r="G7" i="3" s="1"/>
  <c r="K7" i="3" s="1"/>
  <c r="N22" i="3"/>
  <c r="B5" i="3"/>
  <c r="D3" i="3"/>
  <c r="D11" i="3" s="1"/>
  <c r="L18" i="3"/>
  <c r="B3" i="3" s="1"/>
  <c r="M20" i="3"/>
  <c r="C5" i="3" s="1"/>
  <c r="H18" i="3"/>
  <c r="N24" i="3"/>
  <c r="N20" i="3"/>
  <c r="O25" i="3" l="1"/>
  <c r="F11" i="7"/>
  <c r="C60" i="7"/>
  <c r="E11" i="7"/>
  <c r="F18" i="2"/>
  <c r="C39" i="7"/>
  <c r="F18" i="7"/>
  <c r="C63" i="7"/>
  <c r="E18" i="7"/>
  <c r="D39" i="7"/>
  <c r="D63" i="7"/>
  <c r="D4" i="3"/>
  <c r="F4" i="3" s="1"/>
  <c r="J4" i="3" s="1"/>
  <c r="O24" i="3"/>
  <c r="E4" i="5"/>
  <c r="F3" i="3"/>
  <c r="O19" i="3"/>
  <c r="O6" i="3"/>
  <c r="P6" i="3" s="1"/>
  <c r="M6" i="3"/>
  <c r="N6" i="3" s="1"/>
  <c r="O21" i="3"/>
  <c r="B8" i="3"/>
  <c r="F8" i="3" s="1"/>
  <c r="O23" i="3"/>
  <c r="J9" i="3"/>
  <c r="M18" i="3"/>
  <c r="C3" i="3" s="1"/>
  <c r="G3" i="3" s="1"/>
  <c r="K3" i="3" s="1"/>
  <c r="N18" i="3"/>
  <c r="O18" i="3" s="1"/>
  <c r="F5" i="3"/>
  <c r="B11" i="3"/>
  <c r="G5" i="3"/>
  <c r="K5" i="3" s="1"/>
  <c r="O10" i="3"/>
  <c r="P10" i="3" s="1"/>
  <c r="M10" i="3"/>
  <c r="N10" i="3" s="1"/>
  <c r="O20" i="3"/>
  <c r="B7" i="3"/>
  <c r="F7" i="3" s="1"/>
  <c r="O22" i="3"/>
  <c r="C4" i="5" l="1"/>
  <c r="C11" i="3"/>
  <c r="J3" i="3"/>
  <c r="M3" i="3" s="1"/>
  <c r="N3" i="3" s="1"/>
  <c r="J8" i="3"/>
  <c r="J7" i="3"/>
  <c r="J5" i="3"/>
  <c r="M9" i="3"/>
  <c r="N9" i="3" s="1"/>
  <c r="O9" i="3"/>
  <c r="P9" i="3" s="1"/>
  <c r="K11" i="3"/>
  <c r="G11" i="3"/>
  <c r="O4" i="3"/>
  <c r="P4" i="3" s="1"/>
  <c r="M4" i="3"/>
  <c r="N4" i="3" s="1"/>
  <c r="F11" i="3"/>
  <c r="B4" i="5" l="1"/>
  <c r="L26" i="7"/>
  <c r="D26" i="7" s="1"/>
  <c r="C26" i="7" s="1"/>
  <c r="O3" i="3"/>
  <c r="M8" i="3"/>
  <c r="N8" i="3" s="1"/>
  <c r="O8" i="3"/>
  <c r="P8" i="3" s="1"/>
  <c r="O7" i="3"/>
  <c r="P7" i="3" s="1"/>
  <c r="M7" i="3"/>
  <c r="N7" i="3" s="1"/>
  <c r="P3" i="3"/>
  <c r="O5" i="3"/>
  <c r="J11" i="3"/>
  <c r="M5" i="3"/>
  <c r="N5" i="3" s="1"/>
  <c r="O11" i="3" l="1"/>
  <c r="P5" i="3"/>
  <c r="P11" i="3" s="1"/>
  <c r="N11" i="3"/>
  <c r="M11" i="3"/>
  <c r="L24" i="7" l="1"/>
  <c r="L29" i="7" l="1"/>
  <c r="D24" i="7"/>
  <c r="C24" i="7" s="1"/>
  <c r="D23" i="7" l="1"/>
  <c r="D40" i="7" s="1"/>
  <c r="C23" i="7"/>
  <c r="F4" i="5"/>
  <c r="D30" i="7" l="1"/>
  <c r="D31" i="7" s="1"/>
  <c r="D64" i="7"/>
  <c r="E23" i="7"/>
  <c r="F23" i="7"/>
  <c r="C40" i="7"/>
  <c r="C64" i="7"/>
  <c r="C30" i="7"/>
  <c r="C31" i="7" s="1"/>
  <c r="D100" i="6"/>
  <c r="G58" i="6" s="1"/>
  <c r="B100" i="6"/>
  <c r="E53" i="6" s="1"/>
  <c r="F53" i="6"/>
  <c r="F55" i="6"/>
  <c r="C100" i="6"/>
  <c r="F52" i="6" s="1"/>
  <c r="F56" i="6"/>
  <c r="F30" i="7" l="1"/>
  <c r="E30" i="7"/>
  <c r="E57" i="6"/>
  <c r="G53" i="6"/>
  <c r="E60" i="6"/>
  <c r="E51" i="6"/>
  <c r="G59" i="6"/>
  <c r="F58" i="6"/>
  <c r="E54" i="6"/>
  <c r="G57" i="6"/>
  <c r="G56" i="6"/>
  <c r="F60" i="6"/>
  <c r="E58" i="6"/>
  <c r="G51" i="6"/>
  <c r="F54" i="6"/>
  <c r="E52" i="6"/>
  <c r="G52" i="6"/>
  <c r="G55" i="6"/>
  <c r="F57" i="6"/>
  <c r="E55" i="6"/>
  <c r="G60" i="6"/>
  <c r="F51" i="6"/>
  <c r="F59" i="6"/>
  <c r="E59" i="6"/>
  <c r="G54" i="6"/>
  <c r="E5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 Rintala</author>
    <author>Timo</author>
  </authors>
  <commentList>
    <comment ref="H24" authorId="0" shapeId="0" xr:uid="{0CB683DC-DF30-4816-958F-1BEF0393F263}">
      <text>
        <r>
          <rPr>
            <sz val="9"/>
            <color indexed="81"/>
            <rFont val="Tahoma"/>
            <family val="2"/>
          </rPr>
          <t>Arvo syötettävä. Mikäli kohteessa ei ole kaukolämmön käyttöä lainkaan, syötä erittäin pieni arvo esim 0.000001</t>
        </r>
      </text>
    </comment>
    <comment ref="H26" authorId="1" shapeId="0" xr:uid="{07F13199-CE96-4440-8361-F9A1B1B2A24B}">
      <text>
        <r>
          <rPr>
            <b/>
            <sz val="9"/>
            <color indexed="81"/>
            <rFont val="Tahoma"/>
            <family val="2"/>
          </rPr>
          <t>OHJE:
Energiatodistuksen mukainen sähkön arvo kokonaisuudessaan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Tekijä</author>
  </authors>
  <commentList>
    <comment ref="L18" authorId="0" shapeId="0" xr:uid="{00000000-0006-0000-0200-000001000000}">
      <text>
        <r>
          <rPr>
            <b/>
            <sz val="9"/>
            <color indexed="81"/>
            <rFont val="Tahoma"/>
            <family val="2"/>
          </rPr>
          <t>Tekijä:</t>
        </r>
        <r>
          <rPr>
            <sz val="9"/>
            <color indexed="81"/>
            <rFont val="Tahoma"/>
            <family val="2"/>
          </rPr>
          <t xml:space="preserve">
Tässä käyttöaika 0,1 * 8760h</t>
        </r>
      </text>
    </comment>
    <comment ref="L19" authorId="0" shapeId="0" xr:uid="{00000000-0006-0000-0200-000002000000}">
      <text>
        <r>
          <rPr>
            <b/>
            <sz val="9"/>
            <color indexed="81"/>
            <rFont val="Tahoma"/>
            <family val="2"/>
          </rPr>
          <t>Tekijä:</t>
        </r>
        <r>
          <rPr>
            <sz val="9"/>
            <color indexed="81"/>
            <rFont val="Tahoma"/>
            <family val="2"/>
          </rPr>
          <t xml:space="preserve">
Tässä käyttöaika 0,1 * 8760h</t>
        </r>
      </text>
    </comment>
  </commentList>
</comments>
</file>

<file path=xl/sharedStrings.xml><?xml version="1.0" encoding="utf-8"?>
<sst xmlns="http://schemas.openxmlformats.org/spreadsheetml/2006/main" count="322" uniqueCount="209">
  <si>
    <t>Elinkaaren hiilijalanjäljen säästön laskenta 9/24</t>
  </si>
  <si>
    <t>Rakennustiedon ympäristöluokitus 2022, päivitys 9/2024</t>
  </si>
  <si>
    <t>Laskentamallin tarkoitus</t>
  </si>
  <si>
    <t xml:space="preserve">Laskentamallilla pyritään yksinkertaistamaan elinkaaren hiilijalanjäljen laskentaa siten, että niissä tapauksissa joissa toteutetaan tavanomaista rakennusvaiheen toteumaa, voidaan kriteeri arvioida ilman kattavaa tarkastelua pelkästään energiatehokkuuden ja energiantuotannon ratkaisujen perusteella. </t>
  </si>
  <si>
    <t>Tätä laskentamallia on päivitetty 9/2024 perustuen CO2datan talokniikan ja rakentamisen arvojen päivitykseen 2024. Talotekniikan korjauksen B4 arvoa ei ole päivitetty.</t>
  </si>
  <si>
    <t>Laskennan ohje</t>
  </si>
  <si>
    <t>Elinkaaren hiilijalanjäljen kohdekohtaisessa laskennassa käytetään seuraavia laskenta-arvoja:</t>
  </si>
  <si>
    <t>A1-A3 Rakennusvaiheen materiaalien käyttö</t>
  </si>
  <si>
    <t>Syötettävät laskenta-arvot saadaan erillisen tuotevaiheen hiilijalanjäljen laskennan tuloksista. Materiaalien päästöarvojen tulee perustua kansallisen päästötietokannan (CO2data.fi) konservatiivisiin arvoihin ja tuotekohtaisiin EPD tietoihin, joissa on työmaan hukka huomioitu.
Talotekniikan osalta vertailuarvo perustuu Co2datan 6/24 päivittyneisiin kiinteistötyyppikohtaisiin arvoihin.</t>
  </si>
  <si>
    <t xml:space="preserve">Peruskorjauksissa hiilijalanjälki perustuu joko erilliseen hiilijalanjäljen laskentaan tai se voidaan laskea säilytettävien rakenteiden pinta-alojen mukaan erillisellä välilehdellä. Erilliseltä laskentaväliledeltä arvot tulee syöttää käsin laskentasivulle. 
</t>
  </si>
  <si>
    <t>A4-A5 Rakentaminen</t>
  </si>
  <si>
    <t xml:space="preserve">Rakentamisen lopussa voidaan käyttää rakentamisvaiheen toteutuneita energiankäytön päästöjä (Lämmitys, sähkö ja lämmityksen polttoaineet ilman työmaakoneiden polttoaineita). Energian yksikköpäästöjen tulee perustua CO2data.fi mukaiseen valmistumisvuoden yksikköpäästöön. Vihreän sähkön tai kompensointien vaikutusta ei saa huomioida, mutta laskenta voi perustuen työmaan toteumatietoihin ja energian kansallisiin keskisarvoihin valmistumisvuodelle.
</t>
  </si>
  <si>
    <t>B4 Kunnossapito ja korjaukset</t>
  </si>
  <si>
    <t xml:space="preserve">Syötettävät laskenta-arvot saadaan erillisen tuotevaiheen hiilijalanjäljen laskennan tuloksista. Materiaalien päästöarvojen tulee perustua kansallisen päästötietokannan (CO2data.fi) konservatiivisiin arvoihin ja talotekniikan osalta käytetään annettuja (vanha CO2data-laskenta) oletusarvoja talotekniikan uusimiselle. Jos laskenta-arvoja ei ole syötetty käytetään laskennassa oletusarvona alue 20%, talo 5% ja tila 50% rakennusvaiheen arvoista. Talotekniikassa tulee käyttää annettuja oletusarvoja, koska laskentaperiaatteita ei ole yhteisesti hyväksytty. Oletusarvoina on käytetty vanhempia CO2data B4 arvoja, koska päivittyneissä arvoissa on mukana B5-vaiheen päästöjä YM:n laskentaohjeistuksen vastaisesti.
</t>
  </si>
  <si>
    <t>B6 Energiankäyttö</t>
  </si>
  <si>
    <t xml:space="preserve">Laskenta-arvot saadaan energiatodistuksen ostoenergiankulutuksen perusteella. Energiankäytön profiileina käytetään CO2data.fi mukaisia energian kansallisia keskiarvoja valmistumisvuodelle. Vertailurakennus perustuu lämmitystapana kaukolämpöön ja paikalliseen kylmäntuotantoon sekä uudisrakennusten määräystason vähimmäisvaatimuksen mukaiseen energiatehokkuuteen.  </t>
  </si>
  <si>
    <t xml:space="preserve">Energiankäytön päästöt perustuvat Energiatodistuksesta suoraan otettaviin ostoenergian kulutuslukuihin (esimerkki liitteessä 1).
</t>
  </si>
  <si>
    <t>C Purku</t>
  </si>
  <si>
    <t>Käytetään aina vertailutasoa</t>
  </si>
  <si>
    <t xml:space="preserve">Ostoenergian tietetojen lähtötiedot </t>
  </si>
  <si>
    <t xml:space="preserve">Ostoenergian tiedot syötetään suoraan energiatodistuksen koontisivulta kohdasta "Laskettu ostoenergia".  </t>
  </si>
  <si>
    <t>Versiotiedot</t>
  </si>
  <si>
    <t>Korjattu työmaan CO2 siirtyminen, kuluttajasähkö viittaa aina ostosähköriviin ja erillinen poistettu, virheellinen ohjekommentti poistettu</t>
  </si>
  <si>
    <t>Päivitetty talotekniikan ja työmaan arvot CO2data arvoihin perustuen. Korjauksessa ei kuitenkaan ole päivitetty B4 arvoa uusiin, vaan käytetty vanhoja arvoja johtuen uuden laskennan periaatevirheestä.</t>
  </si>
  <si>
    <t>Y1.1 Tuotevaiheen hiilijalanjäljen säästön laskenta peruskorjauksissa</t>
  </si>
  <si>
    <t>LASKENTA-ARVOJEN SYÖTTÖ</t>
  </si>
  <si>
    <t>Kohde</t>
  </si>
  <si>
    <t>Laskentajakso</t>
  </si>
  <si>
    <t>Tekijä</t>
  </si>
  <si>
    <t>vuotta</t>
  </si>
  <si>
    <t>Rakennus-tyyppi</t>
  </si>
  <si>
    <t>Opetusrakennus ja päiväkoti</t>
  </si>
  <si>
    <t>Nettoala</t>
  </si>
  <si>
    <t>Rak-vuosi</t>
  </si>
  <si>
    <t>(Valmistumisajankohta)</t>
  </si>
  <si>
    <t>Hanke</t>
  </si>
  <si>
    <t>Vertailutaso
(uudis)</t>
  </si>
  <si>
    <t>Säästö</t>
  </si>
  <si>
    <t>Rakennusvaihe
A1-A3</t>
  </si>
  <si>
    <t>Kunnossapito
B3-B4</t>
  </si>
  <si>
    <r>
      <t>kg/m</t>
    </r>
    <r>
      <rPr>
        <vertAlign val="superscript"/>
        <sz val="11"/>
        <color theme="1"/>
        <rFont val="Calibri"/>
        <family val="2"/>
        <scheme val="minor"/>
      </rPr>
      <t>2</t>
    </r>
  </si>
  <si>
    <t>%</t>
  </si>
  <si>
    <t>A1-A3</t>
  </si>
  <si>
    <t>Tuotevaihe</t>
  </si>
  <si>
    <t>Todentava dokumentti</t>
  </si>
  <si>
    <t>x
x</t>
  </si>
  <si>
    <t>Aluerakenteet</t>
  </si>
  <si>
    <t>Talo-osat</t>
  </si>
  <si>
    <t>Tilaosat</t>
  </si>
  <si>
    <t>Talotekniikka</t>
  </si>
  <si>
    <t xml:space="preserve">A4 </t>
  </si>
  <si>
    <t>Työmaan kuljetukset</t>
  </si>
  <si>
    <t>A5</t>
  </si>
  <si>
    <t>Rakentaminen</t>
  </si>
  <si>
    <t>B4</t>
  </si>
  <si>
    <t>Korjaukset ja uusimiset</t>
  </si>
  <si>
    <t>Korjaukset
B4</t>
  </si>
  <si>
    <t>Ominais-ostoenergia</t>
  </si>
  <si>
    <t>Käytetään aina vertailuarvoa</t>
  </si>
  <si>
    <t>B6</t>
  </si>
  <si>
    <t>Energiankulutus</t>
  </si>
  <si>
    <t>kWh/vuosi</t>
  </si>
  <si>
    <t>kWh/a/m2</t>
  </si>
  <si>
    <t>CO2data.fi
g/kWh</t>
  </si>
  <si>
    <t>Vertailutaso
kWh/m2/a</t>
  </si>
  <si>
    <t>Kaukolämpö</t>
  </si>
  <si>
    <t>Energiaselvitys</t>
  </si>
  <si>
    <t>Biolämpö</t>
  </si>
  <si>
    <t>Ostosähkö (sis. Käyttäjä)</t>
  </si>
  <si>
    <t>Fossiiliset energiat</t>
  </si>
  <si>
    <t>Kaukokylmä</t>
  </si>
  <si>
    <t>C1-C4</t>
  </si>
  <si>
    <t>Purku</t>
  </si>
  <si>
    <t>E-luku</t>
  </si>
  <si>
    <t>YHTEENSÄ</t>
  </si>
  <si>
    <t>Energiankäyttö</t>
  </si>
  <si>
    <t>KOHDE</t>
  </si>
  <si>
    <t>VERTAILUTASO</t>
  </si>
  <si>
    <t>Peruskorjauksen hiilijalanjäljen säästön laskenta</t>
  </si>
  <si>
    <t>Rakennustyyppi</t>
  </si>
  <si>
    <t>Hankkeessa uusittu</t>
  </si>
  <si>
    <t>Rak.osan kokonais-</t>
  </si>
  <si>
    <t>Vertailutaso</t>
  </si>
  <si>
    <t>osuus</t>
  </si>
  <si>
    <t>määrä</t>
  </si>
  <si>
    <t>Uusittu alue</t>
  </si>
  <si>
    <t>Kokonais-
määrä</t>
  </si>
  <si>
    <t>Kestopinnoitettu piha-ala</t>
  </si>
  <si>
    <t>Alapohjat</t>
  </si>
  <si>
    <t>Välipohjat</t>
  </si>
  <si>
    <t>Yläpohjat ja vesikatto</t>
  </si>
  <si>
    <t>Ulkoseinät</t>
  </si>
  <si>
    <t>Ikkunat ja ovet</t>
  </si>
  <si>
    <t>Lattiapinnat</t>
  </si>
  <si>
    <t>Alakatot</t>
  </si>
  <si>
    <t>Ei-kantavat väliseinät</t>
  </si>
  <si>
    <t>Uusimis-aste %</t>
  </si>
  <si>
    <t>Olemassa
(1/0)</t>
  </si>
  <si>
    <t>Lämmöntuotanto</t>
  </si>
  <si>
    <t>Lämmitysverkosto</t>
  </si>
  <si>
    <t>Tilalämmitys</t>
  </si>
  <si>
    <t>Vesijohdot</t>
  </si>
  <si>
    <t>Viemärijohdot</t>
  </si>
  <si>
    <t>Ilmanvaihtokoneet</t>
  </si>
  <si>
    <t>Ilmanvaihtokanavistot</t>
  </si>
  <si>
    <t>Jäähdytyksen tuotanto</t>
  </si>
  <si>
    <t>Jäähdytysverkosto ja tilalaitteet</t>
  </si>
  <si>
    <t>Sprinkler-järjestelmä</t>
  </si>
  <si>
    <t>Peruskorjaus</t>
  </si>
  <si>
    <t>Tila-osat</t>
  </si>
  <si>
    <t>Valaistus
kWh/m2</t>
  </si>
  <si>
    <t>Laitteet
kWh/m2</t>
  </si>
  <si>
    <t>Ilmanvaihto
kWh/m2</t>
  </si>
  <si>
    <t>Apulaitteet
kWh/m2</t>
  </si>
  <si>
    <t>SÄHKÖ, kiinteistö
kWh/m2</t>
  </si>
  <si>
    <t>SÄHKÖ, KÄYTTÄJÄ
kWh/m2</t>
  </si>
  <si>
    <t>JÄÄHDYTYS Energia, OLETUS
kWh/m2</t>
  </si>
  <si>
    <t>E-luku
Määräys
E(2018)</t>
  </si>
  <si>
    <t>E-luku
Kiinteistös.</t>
  </si>
  <si>
    <t>E-luku
Käyt.säh.</t>
  </si>
  <si>
    <t>E-luku
Jäähd.</t>
  </si>
  <si>
    <t>E-luku
Lämmitys</t>
  </si>
  <si>
    <t>Määräys-tason lämmön-kulutus kWh/m2/a</t>
  </si>
  <si>
    <t>Vertailutason lämmönkulutus kWh/m2/a</t>
  </si>
  <si>
    <t>A++ energialuokka</t>
  </si>
  <si>
    <t>Rivi- ja ketjutalo</t>
  </si>
  <si>
    <t>Asuinkerrostalo</t>
  </si>
  <si>
    <t>Toimistorakennus</t>
  </si>
  <si>
    <t>Liikerakennus</t>
  </si>
  <si>
    <t>Majoitusliikerakennus</t>
  </si>
  <si>
    <t>Liikuntahalli</t>
  </si>
  <si>
    <t>Sairaala</t>
  </si>
  <si>
    <t>SRMK kulutus</t>
  </si>
  <si>
    <t>Ominaiskulutus/kuorma</t>
  </si>
  <si>
    <t>Ilmavirrat</t>
  </si>
  <si>
    <t>Lämmin käyttövesi</t>
  </si>
  <si>
    <t>A</t>
  </si>
  <si>
    <t>B</t>
  </si>
  <si>
    <t>C</t>
  </si>
  <si>
    <t>D</t>
  </si>
  <si>
    <t>E</t>
  </si>
  <si>
    <t>Käyttötarkoitusluokka</t>
  </si>
  <si>
    <t>Kellonaika</t>
  </si>
  <si>
    <t>Käyttöaika</t>
  </si>
  <si>
    <t>IV</t>
  </si>
  <si>
    <t>Käyttöaste</t>
  </si>
  <si>
    <t>Val. Käyttöa.</t>
  </si>
  <si>
    <t>Valaistus</t>
  </si>
  <si>
    <t>Laitteet</t>
  </si>
  <si>
    <t>Ihmiset</t>
  </si>
  <si>
    <t>yht.</t>
  </si>
  <si>
    <t>Ulkoilmavirta</t>
  </si>
  <si>
    <t>Käyttöajan
ulkopuolella</t>
  </si>
  <si>
    <t>viikko-
ilmavirta</t>
  </si>
  <si>
    <t>LKV ominais</t>
  </si>
  <si>
    <t>Lämmitys-</t>
  </si>
  <si>
    <t>Maksimi</t>
  </si>
  <si>
    <t>Kierron häviöt</t>
  </si>
  <si>
    <t>KV Putkiston pituus</t>
  </si>
  <si>
    <t>h/24h</t>
  </si>
  <si>
    <t>d/7d</t>
  </si>
  <si>
    <t>-</t>
  </si>
  <si>
    <t>W/m2</t>
  </si>
  <si>
    <t>kWh/m²</t>
  </si>
  <si>
    <t>dm3/s,m²</t>
  </si>
  <si>
    <t>dm3/m²,vko</t>
  </si>
  <si>
    <t>dm3/m²/a</t>
  </si>
  <si>
    <t>energia</t>
  </si>
  <si>
    <t>m/nm2</t>
  </si>
  <si>
    <t>Erillinen pientalo sekä rivi- ja ketjutalo</t>
  </si>
  <si>
    <t>00:00-24:00</t>
  </si>
  <si>
    <t>vaihtelee</t>
  </si>
  <si>
    <t>07:00-18:00</t>
  </si>
  <si>
    <t>08:00-21:00</t>
  </si>
  <si>
    <t>08:00-16:00</t>
  </si>
  <si>
    <t>08:00-22:00</t>
  </si>
  <si>
    <t>Pienetyneet</t>
  </si>
  <si>
    <t>Ei muutoksia</t>
  </si>
  <si>
    <t>Hiilijalanjäljen vertailutaso (perustuen 1.3x keskiarvo)</t>
  </si>
  <si>
    <t>Aluetyöt</t>
  </si>
  <si>
    <t>TATE</t>
  </si>
  <si>
    <t>YHT</t>
  </si>
  <si>
    <t>TATE B4</t>
  </si>
  <si>
    <t>A5 maatyöt</t>
  </si>
  <si>
    <t>A4</t>
  </si>
  <si>
    <t>Other retail</t>
  </si>
  <si>
    <t>47/41</t>
  </si>
  <si>
    <t>Kokoontumisrakennus</t>
  </si>
  <si>
    <t>YM päästökerrointarkastelu</t>
  </si>
  <si>
    <t>CO2data kertoimet (2021)</t>
  </si>
  <si>
    <t>CO2data kertoimet (2021) 50 vuoden keskiarvo</t>
  </si>
  <si>
    <t>Sähkö</t>
  </si>
  <si>
    <t>KL</t>
  </si>
  <si>
    <t>KJ</t>
  </si>
  <si>
    <t>Valmistumisvuosi</t>
  </si>
  <si>
    <t>50 vuoden keskiarvo</t>
  </si>
  <si>
    <t>Analyysiä hiilijalanjäljen laskennasta</t>
  </si>
  <si>
    <t>SÄÄSTÖT</t>
  </si>
  <si>
    <t>A4-A5</t>
  </si>
  <si>
    <t>B1-B4</t>
  </si>
  <si>
    <t>B3-B4</t>
  </si>
  <si>
    <t>Kiinteät</t>
  </si>
  <si>
    <t>30% säästö</t>
  </si>
  <si>
    <t>A++energialuokka</t>
  </si>
  <si>
    <t>Rakentaminen -40% 
vertailutasosta (300 kg/m2)</t>
  </si>
  <si>
    <t>Peruskorjaus
energia vertailutasoa</t>
  </si>
  <si>
    <t>30% energiatodistussäästö</t>
  </si>
  <si>
    <t>A++energia</t>
  </si>
  <si>
    <t>Rakentaminen -40% vertailutasosta (300 kg/m2)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</si>
</sst>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
    <numFmt numFmtId="167" formatCode="0.0\ %;\-0.0\ %"/>
    <numFmt numFmtId="168" formatCode="d\.m\.yy;@"/>
  </numFmts>
  <fonts count="27">
    <font>
      <sz val="11"/>
      <color theme="1"/>
      <name val="Calibri"/>
      <family val="2"/>
      <scheme val="minor"/>
    </font>
    <font>
      <b/>
      <sz val="11"/>
      <color theme="1"/>
      <name val="Calibri"/>
      <family val="2"/>
      <scheme val="minor"/>
    </font>
    <font>
      <sz val="11"/>
      <color theme="1"/>
      <name val="Calibri"/>
      <family val="2"/>
      <scheme val="minor"/>
    </font>
    <font>
      <vertAlign val="superscript"/>
      <sz val="11"/>
      <color theme="1"/>
      <name val="Calibri"/>
      <family val="2"/>
      <scheme val="minor"/>
    </font>
    <font>
      <b/>
      <sz val="16"/>
      <color theme="1"/>
      <name val="Calibri"/>
      <family val="2"/>
      <scheme val="minor"/>
    </font>
    <font>
      <b/>
      <sz val="18"/>
      <color theme="1"/>
      <name val="Calibri"/>
      <family val="2"/>
      <scheme val="minor"/>
    </font>
    <font>
      <sz val="11"/>
      <color rgb="FFFF0000"/>
      <name val="Calibri"/>
      <family val="2"/>
      <scheme val="minor"/>
    </font>
    <font>
      <sz val="11"/>
      <color theme="0"/>
      <name val="Calibri"/>
      <family val="2"/>
      <scheme val="minor"/>
    </font>
    <font>
      <sz val="8"/>
      <color theme="4" tint="-0.499984740745262"/>
      <name val="Calibri"/>
      <family val="2"/>
      <scheme val="minor"/>
    </font>
    <font>
      <b/>
      <sz val="8"/>
      <color theme="4" tint="-0.499984740745262"/>
      <name val="Calibri"/>
      <family val="2"/>
      <scheme val="minor"/>
    </font>
    <font>
      <sz val="10"/>
      <color theme="1"/>
      <name val="Calibri"/>
      <family val="2"/>
      <scheme val="minor"/>
    </font>
    <font>
      <b/>
      <sz val="8"/>
      <color theme="6" tint="-0.499984740745262"/>
      <name val="Calibri"/>
      <family val="2"/>
      <scheme val="minor"/>
    </font>
    <font>
      <sz val="8"/>
      <name val="Calibri"/>
      <family val="2"/>
      <scheme val="minor"/>
    </font>
    <font>
      <b/>
      <sz val="8"/>
      <name val="Calibri"/>
      <family val="2"/>
      <scheme val="minor"/>
    </font>
    <font>
      <i/>
      <sz val="8"/>
      <name val="Calibri"/>
      <family val="2"/>
      <scheme val="minor"/>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
      <sz val="16"/>
      <color theme="1"/>
      <name val="Calibri"/>
      <family val="2"/>
      <scheme val="minor"/>
    </font>
    <font>
      <b/>
      <sz val="14"/>
      <color theme="1"/>
      <name val="Calibri"/>
      <family val="2"/>
      <scheme val="minor"/>
    </font>
    <font>
      <sz val="11"/>
      <color theme="1"/>
      <name val="Symbol"/>
      <family val="1"/>
      <charset val="2"/>
    </font>
    <font>
      <b/>
      <sz val="14"/>
      <name val="Calibri"/>
      <family val="2"/>
      <scheme val="minor"/>
    </font>
    <font>
      <sz val="12"/>
      <name val="Calibri"/>
      <family val="2"/>
      <scheme val="minor"/>
    </font>
    <font>
      <sz val="11"/>
      <name val="Calibri"/>
      <family val="2"/>
      <scheme val="minor"/>
    </font>
    <font>
      <sz val="11"/>
      <color theme="0" tint="-0.249977111117893"/>
      <name val="Calibri"/>
      <family val="2"/>
      <scheme val="minor"/>
    </font>
    <font>
      <b/>
      <sz val="1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59999389629810485"/>
        <bgColor indexed="64"/>
      </patternFill>
    </fill>
  </fills>
  <borders count="27">
    <border>
      <left/>
      <right/>
      <top/>
      <bottom/>
      <diagonal/>
    </border>
    <border>
      <left/>
      <right/>
      <top style="thin">
        <color auto="1"/>
      </top>
      <bottom/>
      <diagonal/>
    </border>
    <border>
      <left style="thin">
        <color auto="1"/>
      </left>
      <right/>
      <top/>
      <bottom/>
      <diagonal/>
    </border>
    <border>
      <left/>
      <right/>
      <top/>
      <bottom style="thin">
        <color auto="1"/>
      </bottom>
      <diagonal/>
    </border>
    <border>
      <left/>
      <right/>
      <top style="thin">
        <color auto="1"/>
      </top>
      <bottom style="thin">
        <color auto="1"/>
      </bottom>
      <diagonal/>
    </border>
    <border>
      <left/>
      <right/>
      <top style="medium">
        <color auto="1"/>
      </top>
      <bottom/>
      <diagonal/>
    </border>
    <border>
      <left/>
      <right style="thin">
        <color auto="1"/>
      </right>
      <top/>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medium">
        <color rgb="FFFF0000"/>
      </left>
      <right/>
      <top style="medium">
        <color rgb="FFFF0000"/>
      </top>
      <bottom style="medium">
        <color rgb="FFFF0000"/>
      </bottom>
      <diagonal/>
    </border>
    <border>
      <left style="thin">
        <color auto="1"/>
      </left>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thin">
        <color auto="1"/>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9" fontId="2" fillId="0" borderId="0" applyFont="0" applyFill="0" applyBorder="0" applyAlignment="0" applyProtection="0"/>
  </cellStyleXfs>
  <cellXfs count="234">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1" fontId="0" fillId="2" borderId="0" xfId="0" applyNumberFormat="1" applyFill="1" applyAlignment="1">
      <alignment horizontal="center" vertical="center"/>
    </xf>
    <xf numFmtId="1" fontId="0" fillId="3" borderId="0" xfId="0" applyNumberFormat="1" applyFill="1" applyAlignment="1">
      <alignment horizontal="center" vertical="center"/>
    </xf>
    <xf numFmtId="0" fontId="0" fillId="3" borderId="0" xfId="0" applyFill="1"/>
    <xf numFmtId="0" fontId="0" fillId="3" borderId="0" xfId="0" applyFill="1" applyAlignment="1">
      <alignment horizontal="center"/>
    </xf>
    <xf numFmtId="0" fontId="0" fillId="3" borderId="0" xfId="0" applyFill="1" applyAlignment="1">
      <alignment horizontal="left" vertical="center" indent="1"/>
    </xf>
    <xf numFmtId="0" fontId="1" fillId="3" borderId="0" xfId="0" applyFont="1" applyFill="1" applyAlignment="1">
      <alignment vertical="center" wrapText="1"/>
    </xf>
    <xf numFmtId="0" fontId="1" fillId="3" borderId="0" xfId="0" applyFont="1" applyFill="1" applyAlignment="1">
      <alignment vertical="center"/>
    </xf>
    <xf numFmtId="0" fontId="0" fillId="3" borderId="0" xfId="0" applyFill="1" applyAlignment="1">
      <alignment vertical="center"/>
    </xf>
    <xf numFmtId="0" fontId="0" fillId="3" borderId="0" xfId="0" applyFill="1" applyAlignment="1">
      <alignment vertical="center" wrapText="1"/>
    </xf>
    <xf numFmtId="0" fontId="0" fillId="3" borderId="0" xfId="0" applyFill="1" applyAlignment="1">
      <alignment horizontal="left"/>
    </xf>
    <xf numFmtId="0" fontId="0" fillId="2" borderId="0" xfId="0" applyFill="1" applyAlignment="1">
      <alignment horizontal="center"/>
    </xf>
    <xf numFmtId="1" fontId="0" fillId="0" borderId="0" xfId="0" applyNumberFormat="1"/>
    <xf numFmtId="0" fontId="1" fillId="3" borderId="0" xfId="0" applyFont="1" applyFill="1" applyAlignment="1">
      <alignment horizontal="center" vertical="center" wrapText="1"/>
    </xf>
    <xf numFmtId="0" fontId="4" fillId="3" borderId="0" xfId="0" applyFont="1" applyFill="1"/>
    <xf numFmtId="0" fontId="0" fillId="3" borderId="0" xfId="0" applyFill="1" applyAlignment="1">
      <alignment horizontal="left" vertical="center"/>
    </xf>
    <xf numFmtId="1" fontId="0" fillId="3" borderId="0" xfId="0" applyNumberFormat="1" applyFill="1" applyAlignment="1">
      <alignment horizontal="center"/>
    </xf>
    <xf numFmtId="0" fontId="0" fillId="6" borderId="0" xfId="0" applyFill="1"/>
    <xf numFmtId="2" fontId="8" fillId="0" borderId="0" xfId="0" applyNumberFormat="1" applyFont="1"/>
    <xf numFmtId="2" fontId="8" fillId="0" borderId="0" xfId="0" applyNumberFormat="1" applyFont="1" applyAlignment="1">
      <alignment horizontal="center"/>
    </xf>
    <xf numFmtId="164" fontId="8" fillId="0" borderId="0" xfId="0" applyNumberFormat="1" applyFont="1"/>
    <xf numFmtId="165" fontId="9" fillId="0" borderId="0" xfId="0" applyNumberFormat="1" applyFont="1"/>
    <xf numFmtId="0" fontId="0" fillId="7" borderId="0" xfId="0" applyFill="1" applyAlignment="1">
      <alignment horizontal="center"/>
    </xf>
    <xf numFmtId="0" fontId="7" fillId="7" borderId="0" xfId="0" applyFont="1" applyFill="1" applyAlignment="1">
      <alignment horizontal="center"/>
    </xf>
    <xf numFmtId="0" fontId="7" fillId="7" borderId="6" xfId="0" applyFont="1" applyFill="1" applyBorder="1" applyAlignment="1">
      <alignment horizontal="center"/>
    </xf>
    <xf numFmtId="0" fontId="7" fillId="7" borderId="2" xfId="0" applyFont="1" applyFill="1" applyBorder="1" applyAlignment="1">
      <alignment horizontal="center"/>
    </xf>
    <xf numFmtId="0" fontId="7" fillId="7" borderId="2" xfId="0" applyFont="1" applyFill="1" applyBorder="1" applyAlignment="1">
      <alignment horizontal="left"/>
    </xf>
    <xf numFmtId="0" fontId="7" fillId="7" borderId="0" xfId="0" applyFont="1" applyFill="1"/>
    <xf numFmtId="0" fontId="7" fillId="7" borderId="0" xfId="0" applyFont="1" applyFill="1" applyAlignment="1">
      <alignment horizontal="center" wrapText="1"/>
    </xf>
    <xf numFmtId="0" fontId="7" fillId="7" borderId="6" xfId="0" applyFont="1" applyFill="1" applyBorder="1" applyAlignment="1">
      <alignment horizontal="center" wrapText="1"/>
    </xf>
    <xf numFmtId="0" fontId="0" fillId="6" borderId="0" xfId="0" applyFill="1" applyAlignment="1">
      <alignment horizontal="center"/>
    </xf>
    <xf numFmtId="0" fontId="10" fillId="6" borderId="2" xfId="0" applyFont="1" applyFill="1" applyBorder="1" applyAlignment="1">
      <alignment horizontal="center"/>
    </xf>
    <xf numFmtId="0" fontId="10" fillId="6" borderId="0" xfId="0" applyFont="1" applyFill="1" applyAlignment="1">
      <alignment horizontal="center"/>
    </xf>
    <xf numFmtId="0" fontId="10" fillId="6" borderId="6" xfId="0" applyFont="1" applyFill="1" applyBorder="1" applyAlignment="1">
      <alignment horizontal="center"/>
    </xf>
    <xf numFmtId="0" fontId="10" fillId="6" borderId="6" xfId="0" quotePrefix="1" applyFont="1" applyFill="1" applyBorder="1" applyAlignment="1">
      <alignment horizontal="center"/>
    </xf>
    <xf numFmtId="0" fontId="0" fillId="0" borderId="2" xfId="0" applyBorder="1"/>
    <xf numFmtId="0" fontId="0" fillId="0" borderId="0" xfId="0" applyAlignment="1">
      <alignment horizontal="right"/>
    </xf>
    <xf numFmtId="1" fontId="0" fillId="0" borderId="0" xfId="0" applyNumberFormat="1" applyAlignment="1">
      <alignment horizontal="center"/>
    </xf>
    <xf numFmtId="1" fontId="0" fillId="0" borderId="2" xfId="0" applyNumberFormat="1" applyBorder="1" applyAlignment="1">
      <alignment horizontal="center"/>
    </xf>
    <xf numFmtId="1" fontId="0" fillId="0" borderId="6" xfId="0" applyNumberFormat="1" applyBorder="1" applyAlignment="1">
      <alignment horizontal="center"/>
    </xf>
    <xf numFmtId="166" fontId="0" fillId="0" borderId="2" xfId="0" applyNumberFormat="1" applyBorder="1" applyAlignment="1">
      <alignment horizontal="center"/>
    </xf>
    <xf numFmtId="2" fontId="0" fillId="0" borderId="0" xfId="0" quotePrefix="1" applyNumberFormat="1" applyAlignment="1">
      <alignment horizontal="center"/>
    </xf>
    <xf numFmtId="2" fontId="12" fillId="0" borderId="0" xfId="0" applyNumberFormat="1" applyFont="1"/>
    <xf numFmtId="2" fontId="0" fillId="0" borderId="0" xfId="0" applyNumberFormat="1" applyAlignment="1">
      <alignment horizontal="center"/>
    </xf>
    <xf numFmtId="166" fontId="13" fillId="0" borderId="0" xfId="0" applyNumberFormat="1" applyFont="1"/>
    <xf numFmtId="1" fontId="8" fillId="0" borderId="0" xfId="0" applyNumberFormat="1" applyFont="1"/>
    <xf numFmtId="3" fontId="9" fillId="0" borderId="0" xfId="0" applyNumberFormat="1" applyFont="1"/>
    <xf numFmtId="0" fontId="7" fillId="8" borderId="0" xfId="0" applyFont="1" applyFill="1" applyAlignment="1">
      <alignment horizontal="center" wrapText="1"/>
    </xf>
    <xf numFmtId="0" fontId="0" fillId="6" borderId="0" xfId="0" applyFill="1" applyAlignment="1">
      <alignment horizontal="right"/>
    </xf>
    <xf numFmtId="166" fontId="0" fillId="9" borderId="2" xfId="0" applyNumberFormat="1" applyFill="1" applyBorder="1" applyAlignment="1">
      <alignment horizontal="center"/>
    </xf>
    <xf numFmtId="0" fontId="6" fillId="0" borderId="0" xfId="0" applyFont="1"/>
    <xf numFmtId="1" fontId="14" fillId="0" borderId="0" xfId="0" applyNumberFormat="1" applyFont="1"/>
    <xf numFmtId="166" fontId="13" fillId="0" borderId="0" xfId="0" applyNumberFormat="1" applyFont="1" applyAlignment="1">
      <alignment horizontal="center"/>
    </xf>
    <xf numFmtId="0" fontId="1" fillId="3" borderId="0" xfId="0" applyFont="1" applyFill="1" applyAlignment="1">
      <alignment horizontal="left" vertical="center"/>
    </xf>
    <xf numFmtId="0" fontId="0" fillId="3" borderId="0" xfId="0" applyFill="1" applyAlignment="1">
      <alignment horizontal="center" vertical="center" wrapText="1"/>
    </xf>
    <xf numFmtId="0" fontId="0" fillId="0" borderId="0" xfId="0" applyAlignment="1">
      <alignment vertical="center" wrapText="1"/>
    </xf>
    <xf numFmtId="167" fontId="0" fillId="3" borderId="0" xfId="0" applyNumberFormat="1" applyFill="1" applyAlignment="1">
      <alignment horizontal="center"/>
    </xf>
    <xf numFmtId="167" fontId="0" fillId="3" borderId="0" xfId="0" applyNumberFormat="1" applyFill="1" applyAlignment="1">
      <alignment horizontal="center" vertical="center" wrapText="1"/>
    </xf>
    <xf numFmtId="167" fontId="0" fillId="0" borderId="0" xfId="0" applyNumberFormat="1" applyAlignment="1">
      <alignment horizontal="center" vertical="center"/>
    </xf>
    <xf numFmtId="167" fontId="0" fillId="0" borderId="0" xfId="0" applyNumberFormat="1" applyAlignment="1">
      <alignment horizontal="center"/>
    </xf>
    <xf numFmtId="0" fontId="17" fillId="3" borderId="1" xfId="0" applyFont="1" applyFill="1" applyBorder="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wrapText="1"/>
    </xf>
    <xf numFmtId="0" fontId="18" fillId="3" borderId="0" xfId="0" applyFont="1" applyFill="1" applyAlignment="1">
      <alignment vertical="center"/>
    </xf>
    <xf numFmtId="0" fontId="17" fillId="3" borderId="0" xfId="0" applyFont="1" applyFill="1" applyAlignment="1">
      <alignment vertical="center"/>
    </xf>
    <xf numFmtId="0" fontId="17" fillId="0" borderId="0" xfId="0" applyFont="1" applyAlignment="1">
      <alignment vertical="center"/>
    </xf>
    <xf numFmtId="0" fontId="17" fillId="3" borderId="0" xfId="0" applyFont="1" applyFill="1" applyAlignment="1">
      <alignment horizontal="center" vertical="center" wrapText="1"/>
    </xf>
    <xf numFmtId="1" fontId="17" fillId="0" borderId="1" xfId="0" applyNumberFormat="1" applyFont="1" applyBorder="1" applyAlignment="1">
      <alignment horizontal="center" vertical="center"/>
    </xf>
    <xf numFmtId="1" fontId="17" fillId="3" borderId="0" xfId="0" applyNumberFormat="1" applyFont="1" applyFill="1" applyAlignment="1">
      <alignment horizontal="center" vertical="center"/>
    </xf>
    <xf numFmtId="0" fontId="1" fillId="3" borderId="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0" fillId="3" borderId="9" xfId="0" applyFill="1" applyBorder="1" applyAlignment="1">
      <alignment horizontal="center"/>
    </xf>
    <xf numFmtId="0" fontId="17" fillId="3" borderId="9" xfId="0" applyFont="1" applyFill="1" applyBorder="1" applyAlignment="1">
      <alignment horizontal="center" vertical="center"/>
    </xf>
    <xf numFmtId="0" fontId="1" fillId="3" borderId="7" xfId="0" applyFont="1" applyFill="1" applyBorder="1" applyAlignment="1">
      <alignment horizontal="center" vertical="center" wrapText="1"/>
    </xf>
    <xf numFmtId="0" fontId="17" fillId="3" borderId="2" xfId="0" applyFont="1" applyFill="1" applyBorder="1" applyAlignment="1">
      <alignment horizontal="center" vertical="center"/>
    </xf>
    <xf numFmtId="1" fontId="17" fillId="2" borderId="1" xfId="0" applyNumberFormat="1" applyFont="1" applyFill="1" applyBorder="1" applyAlignment="1">
      <alignment horizontal="center" vertical="center"/>
    </xf>
    <xf numFmtId="166" fontId="0" fillId="3" borderId="0" xfId="0" applyNumberFormat="1" applyFill="1" applyAlignment="1">
      <alignment horizontal="center" vertical="center" wrapText="1"/>
    </xf>
    <xf numFmtId="167" fontId="18" fillId="3" borderId="1" xfId="1" applyNumberFormat="1" applyFont="1" applyFill="1" applyBorder="1" applyAlignment="1">
      <alignment horizontal="center" vertical="center"/>
    </xf>
    <xf numFmtId="167" fontId="0" fillId="3" borderId="0" xfId="1" applyNumberFormat="1" applyFont="1" applyFill="1" applyBorder="1" applyAlignment="1">
      <alignment horizontal="center" vertical="center"/>
    </xf>
    <xf numFmtId="167" fontId="1" fillId="3" borderId="0" xfId="1" applyNumberFormat="1" applyFont="1" applyFill="1" applyBorder="1" applyAlignment="1">
      <alignment horizontal="center" vertical="center"/>
    </xf>
    <xf numFmtId="167" fontId="18" fillId="3" borderId="0" xfId="1" applyNumberFormat="1" applyFont="1" applyFill="1" applyBorder="1" applyAlignment="1">
      <alignment horizontal="center" vertical="center"/>
    </xf>
    <xf numFmtId="167" fontId="18" fillId="3" borderId="6" xfId="1" applyNumberFormat="1" applyFont="1" applyFill="1" applyBorder="1" applyAlignment="1">
      <alignment horizontal="center" vertical="center"/>
    </xf>
    <xf numFmtId="0" fontId="0" fillId="3" borderId="7" xfId="0" applyFill="1" applyBorder="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0" fillId="3" borderId="2" xfId="0" applyFill="1" applyBorder="1"/>
    <xf numFmtId="167" fontId="0" fillId="2" borderId="6" xfId="0" applyNumberFormat="1" applyFill="1" applyBorder="1" applyAlignment="1">
      <alignment horizontal="center"/>
    </xf>
    <xf numFmtId="0" fontId="17" fillId="3" borderId="7" xfId="0" applyFont="1" applyFill="1" applyBorder="1" applyAlignment="1">
      <alignment vertical="center"/>
    </xf>
    <xf numFmtId="167" fontId="18" fillId="3" borderId="11" xfId="1" applyNumberFormat="1" applyFont="1" applyFill="1" applyBorder="1" applyAlignment="1">
      <alignment horizontal="center" vertical="center"/>
    </xf>
    <xf numFmtId="0" fontId="1" fillId="3" borderId="2" xfId="0" applyFont="1" applyFill="1" applyBorder="1" applyAlignment="1">
      <alignment vertical="center"/>
    </xf>
    <xf numFmtId="167" fontId="0" fillId="3" borderId="6" xfId="1" applyNumberFormat="1" applyFont="1" applyFill="1" applyBorder="1" applyAlignment="1">
      <alignment horizontal="center" vertical="center"/>
    </xf>
    <xf numFmtId="0" fontId="17" fillId="3" borderId="2" xfId="0" applyFont="1" applyFill="1" applyBorder="1" applyAlignment="1">
      <alignment vertical="center"/>
    </xf>
    <xf numFmtId="167" fontId="1" fillId="3" borderId="6" xfId="1" applyNumberFormat="1" applyFont="1" applyFill="1" applyBorder="1" applyAlignment="1">
      <alignment horizontal="center" vertical="center"/>
    </xf>
    <xf numFmtId="0" fontId="0" fillId="0" borderId="0" xfId="0" applyAlignment="1">
      <alignment vertical="top"/>
    </xf>
    <xf numFmtId="0" fontId="0" fillId="3" borderId="0" xfId="0" applyFill="1" applyAlignment="1">
      <alignment wrapText="1"/>
    </xf>
    <xf numFmtId="0" fontId="20" fillId="3" borderId="0" xfId="0" applyFont="1" applyFill="1"/>
    <xf numFmtId="0" fontId="20" fillId="3" borderId="0" xfId="0" applyFont="1" applyFill="1" applyAlignment="1">
      <alignment vertical="top"/>
    </xf>
    <xf numFmtId="0" fontId="0" fillId="3" borderId="0" xfId="0" applyFill="1" applyAlignment="1">
      <alignment horizontal="justify" vertical="top" wrapText="1"/>
    </xf>
    <xf numFmtId="0" fontId="0" fillId="3" borderId="0" xfId="0" applyFill="1" applyAlignment="1">
      <alignment horizontal="left" vertical="top" wrapText="1"/>
    </xf>
    <xf numFmtId="0" fontId="0" fillId="3" borderId="0" xfId="0" applyFill="1" applyAlignment="1">
      <alignment horizontal="left" vertical="center" wrapText="1"/>
    </xf>
    <xf numFmtId="0" fontId="19" fillId="3" borderId="0" xfId="0" applyFont="1" applyFill="1"/>
    <xf numFmtId="0" fontId="21" fillId="3" borderId="0" xfId="0" applyFont="1" applyFill="1" applyAlignment="1">
      <alignment horizontal="left" vertical="center" wrapText="1"/>
    </xf>
    <xf numFmtId="0" fontId="0" fillId="2" borderId="0" xfId="0" applyFill="1" applyAlignment="1">
      <alignment horizontal="right" vertical="center"/>
    </xf>
    <xf numFmtId="0" fontId="17" fillId="3" borderId="0" xfId="0" applyFont="1" applyFill="1" applyAlignment="1">
      <alignment horizontal="left" vertical="center"/>
    </xf>
    <xf numFmtId="0" fontId="0" fillId="5" borderId="0" xfId="0" applyFill="1" applyAlignment="1" applyProtection="1">
      <alignment vertical="center" wrapText="1"/>
      <protection locked="0"/>
    </xf>
    <xf numFmtId="0" fontId="18" fillId="4" borderId="10" xfId="0" applyFont="1"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5" borderId="0" xfId="0" applyFill="1" applyAlignment="1" applyProtection="1">
      <alignment vertical="center"/>
      <protection locked="0"/>
    </xf>
    <xf numFmtId="0" fontId="0" fillId="3" borderId="0" xfId="0" applyFill="1" applyAlignment="1">
      <alignment horizontal="center" vertical="center"/>
    </xf>
    <xf numFmtId="167" fontId="0" fillId="3" borderId="0" xfId="0" applyNumberFormat="1" applyFill="1" applyAlignment="1">
      <alignment horizontal="center" vertical="center"/>
    </xf>
    <xf numFmtId="167" fontId="0" fillId="3" borderId="0" xfId="0" applyNumberFormat="1" applyFill="1" applyAlignment="1">
      <alignment horizontal="left" vertical="center"/>
    </xf>
    <xf numFmtId="0" fontId="0" fillId="3" borderId="0" xfId="0" applyFill="1" applyAlignment="1">
      <alignment horizontal="right" vertical="center"/>
    </xf>
    <xf numFmtId="0" fontId="0" fillId="5" borderId="14" xfId="0" applyFill="1" applyBorder="1" applyAlignment="1">
      <alignment horizontal="right"/>
    </xf>
    <xf numFmtId="166" fontId="0" fillId="10" borderId="15" xfId="0" applyNumberFormat="1" applyFill="1" applyBorder="1" applyAlignment="1">
      <alignment horizontal="center"/>
    </xf>
    <xf numFmtId="166" fontId="0" fillId="10" borderId="16" xfId="0" applyNumberFormat="1" applyFill="1" applyBorder="1" applyAlignment="1">
      <alignment horizontal="center"/>
    </xf>
    <xf numFmtId="1" fontId="0" fillId="11" borderId="2" xfId="0" applyNumberFormat="1" applyFill="1" applyBorder="1" applyAlignment="1">
      <alignment horizontal="center"/>
    </xf>
    <xf numFmtId="0" fontId="0" fillId="11" borderId="0" xfId="0" applyFill="1" applyAlignment="1">
      <alignment horizontal="center"/>
    </xf>
    <xf numFmtId="1" fontId="8" fillId="11" borderId="0" xfId="0" applyNumberFormat="1" applyFont="1" applyFill="1"/>
    <xf numFmtId="0" fontId="7" fillId="7" borderId="2" xfId="0" applyFont="1" applyFill="1" applyBorder="1" applyAlignment="1">
      <alignment horizontal="center" wrapText="1"/>
    </xf>
    <xf numFmtId="0" fontId="1" fillId="0" borderId="0" xfId="0" applyFont="1"/>
    <xf numFmtId="9" fontId="0" fillId="0" borderId="0" xfId="1" applyFont="1"/>
    <xf numFmtId="9" fontId="0" fillId="0" borderId="0" xfId="1" applyFont="1" applyAlignment="1">
      <alignment horizontal="center"/>
    </xf>
    <xf numFmtId="9" fontId="0" fillId="0" borderId="0" xfId="0" applyNumberFormat="1"/>
    <xf numFmtId="0" fontId="0" fillId="0" borderId="0" xfId="0" applyAlignment="1">
      <alignment wrapText="1"/>
    </xf>
    <xf numFmtId="165" fontId="11" fillId="0" borderId="0" xfId="0" applyNumberFormat="1" applyFont="1" applyAlignment="1">
      <alignment horizontal="center"/>
    </xf>
    <xf numFmtId="168" fontId="10" fillId="3" borderId="0" xfId="0" applyNumberFormat="1" applyFont="1" applyFill="1" applyAlignment="1">
      <alignment horizontal="left" vertical="top"/>
    </xf>
    <xf numFmtId="0" fontId="17" fillId="3" borderId="17" xfId="0" applyFont="1" applyFill="1" applyBorder="1" applyAlignment="1">
      <alignment vertical="center"/>
    </xf>
    <xf numFmtId="0" fontId="17" fillId="3" borderId="3" xfId="0" applyFont="1" applyFill="1" applyBorder="1" applyAlignment="1">
      <alignment vertical="center"/>
    </xf>
    <xf numFmtId="1" fontId="17" fillId="3" borderId="3" xfId="0" applyNumberFormat="1" applyFont="1" applyFill="1" applyBorder="1" applyAlignment="1">
      <alignment horizontal="center" vertical="center"/>
    </xf>
    <xf numFmtId="167" fontId="18" fillId="3" borderId="18" xfId="1" applyNumberFormat="1" applyFont="1" applyFill="1" applyBorder="1" applyAlignment="1">
      <alignment horizontal="center" vertical="center"/>
    </xf>
    <xf numFmtId="0" fontId="18" fillId="4" borderId="19" xfId="0" applyFont="1" applyFill="1" applyBorder="1" applyAlignment="1" applyProtection="1">
      <alignment horizontal="center" vertical="center"/>
      <protection locked="0"/>
    </xf>
    <xf numFmtId="1" fontId="1" fillId="2" borderId="0" xfId="0" applyNumberFormat="1" applyFont="1" applyFill="1" applyAlignment="1">
      <alignment horizontal="center" vertical="center"/>
    </xf>
    <xf numFmtId="0" fontId="0" fillId="4" borderId="0" xfId="0" applyFill="1" applyAlignment="1" applyProtection="1">
      <alignment horizontal="left" vertical="center"/>
      <protection locked="0"/>
    </xf>
    <xf numFmtId="2" fontId="12" fillId="12" borderId="0" xfId="0" applyNumberFormat="1" applyFont="1" applyFill="1"/>
    <xf numFmtId="166" fontId="13" fillId="12" borderId="0" xfId="0" applyNumberFormat="1" applyFont="1" applyFill="1" applyAlignment="1">
      <alignment horizontal="center"/>
    </xf>
    <xf numFmtId="0" fontId="0" fillId="12" borderId="0" xfId="0" applyFill="1" applyAlignment="1">
      <alignment horizontal="center"/>
    </xf>
    <xf numFmtId="0" fontId="0" fillId="12" borderId="0" xfId="0" applyFill="1"/>
    <xf numFmtId="2" fontId="22" fillId="12" borderId="0" xfId="0" applyNumberFormat="1" applyFont="1" applyFill="1"/>
    <xf numFmtId="1" fontId="23" fillId="2" borderId="0" xfId="0" applyNumberFormat="1" applyFont="1" applyFill="1" applyAlignment="1">
      <alignment horizontal="center" vertical="center"/>
    </xf>
    <xf numFmtId="1" fontId="23" fillId="2" borderId="3" xfId="0" applyNumberFormat="1" applyFont="1" applyFill="1" applyBorder="1" applyAlignment="1">
      <alignment horizontal="center" vertical="center"/>
    </xf>
    <xf numFmtId="0" fontId="7" fillId="7" borderId="8" xfId="0" applyFont="1" applyFill="1" applyBorder="1" applyAlignment="1">
      <alignment horizontal="center" wrapText="1"/>
    </xf>
    <xf numFmtId="1" fontId="0" fillId="0" borderId="9" xfId="0" applyNumberFormat="1" applyBorder="1" applyAlignment="1">
      <alignment horizontal="center"/>
    </xf>
    <xf numFmtId="1" fontId="6" fillId="0" borderId="9" xfId="0" applyNumberFormat="1" applyFont="1" applyBorder="1" applyAlignment="1">
      <alignment horizontal="center"/>
    </xf>
    <xf numFmtId="1" fontId="24" fillId="0" borderId="9" xfId="0" applyNumberFormat="1" applyFont="1" applyBorder="1" applyAlignment="1">
      <alignment horizontal="center"/>
    </xf>
    <xf numFmtId="1" fontId="0" fillId="10" borderId="15" xfId="0" applyNumberFormat="1" applyFill="1" applyBorder="1" applyAlignment="1">
      <alignment horizontal="center"/>
    </xf>
    <xf numFmtId="1" fontId="0" fillId="10" borderId="20" xfId="0" applyNumberFormat="1" applyFill="1" applyBorder="1" applyAlignment="1">
      <alignment horizontal="center"/>
    </xf>
    <xf numFmtId="1" fontId="17" fillId="0" borderId="0" xfId="0" applyNumberFormat="1" applyFont="1" applyAlignment="1">
      <alignment horizontal="center" vertical="center"/>
    </xf>
    <xf numFmtId="1" fontId="17" fillId="2" borderId="0" xfId="0" applyNumberFormat="1" applyFont="1" applyFill="1" applyAlignment="1">
      <alignment horizontal="center" vertical="center"/>
    </xf>
    <xf numFmtId="0" fontId="1" fillId="0" borderId="3" xfId="0" applyFont="1" applyBorder="1"/>
    <xf numFmtId="0" fontId="0" fillId="0" borderId="3" xfId="0" applyBorder="1"/>
    <xf numFmtId="0" fontId="1" fillId="0" borderId="0" xfId="0" applyFont="1" applyAlignment="1">
      <alignment horizontal="center"/>
    </xf>
    <xf numFmtId="166" fontId="0" fillId="0" borderId="0" xfId="0" applyNumberFormat="1" applyAlignment="1">
      <alignment horizontal="center"/>
    </xf>
    <xf numFmtId="0" fontId="1" fillId="0" borderId="12" xfId="0" applyFont="1" applyBorder="1" applyAlignment="1">
      <alignment horizontal="center"/>
    </xf>
    <xf numFmtId="0" fontId="1" fillId="0" borderId="19" xfId="0" applyFont="1" applyBorder="1" applyAlignment="1">
      <alignment horizontal="center"/>
    </xf>
    <xf numFmtId="0" fontId="1" fillId="9" borderId="0" xfId="0" applyFont="1" applyFill="1" applyAlignment="1">
      <alignment horizontal="center"/>
    </xf>
    <xf numFmtId="2" fontId="1" fillId="0" borderId="17" xfId="0" applyNumberFormat="1" applyFont="1" applyBorder="1" applyAlignment="1">
      <alignment horizontal="center"/>
    </xf>
    <xf numFmtId="2" fontId="1" fillId="0" borderId="10" xfId="0" applyNumberFormat="1" applyFont="1" applyBorder="1" applyAlignment="1">
      <alignment horizontal="center"/>
    </xf>
    <xf numFmtId="166" fontId="1" fillId="0" borderId="0" xfId="0" applyNumberFormat="1" applyFont="1" applyAlignment="1">
      <alignment horizontal="center"/>
    </xf>
    <xf numFmtId="0" fontId="0" fillId="3" borderId="0" xfId="0" applyFill="1" applyAlignment="1">
      <alignment horizontal="left" vertical="top" wrapText="1" indent="1"/>
    </xf>
    <xf numFmtId="0" fontId="0" fillId="2" borderId="0" xfId="0" applyFill="1" applyAlignment="1">
      <alignment horizontal="center" vertical="center"/>
    </xf>
    <xf numFmtId="0" fontId="0" fillId="2" borderId="0" xfId="0" applyFill="1" applyAlignment="1">
      <alignment vertical="center"/>
    </xf>
    <xf numFmtId="0" fontId="0" fillId="4" borderId="0" xfId="0" applyFill="1" applyAlignment="1" applyProtection="1">
      <alignment vertical="center"/>
      <protection locked="0"/>
    </xf>
    <xf numFmtId="0" fontId="0" fillId="3" borderId="5" xfId="0" applyFill="1" applyBorder="1" applyAlignment="1">
      <alignment horizontal="center"/>
    </xf>
    <xf numFmtId="166" fontId="0" fillId="2" borderId="0" xfId="0" applyNumberFormat="1" applyFill="1" applyAlignment="1">
      <alignment horizontal="center" vertical="center"/>
    </xf>
    <xf numFmtId="0" fontId="1" fillId="2" borderId="1" xfId="0" applyFont="1" applyFill="1" applyBorder="1" applyAlignment="1">
      <alignment horizontal="center" vertical="center" wrapText="1"/>
    </xf>
    <xf numFmtId="1" fontId="0" fillId="9" borderId="0" xfId="0" applyNumberFormat="1" applyFill="1" applyAlignment="1" applyProtection="1">
      <alignment horizontal="center" vertical="center"/>
      <protection locked="0"/>
    </xf>
    <xf numFmtId="9" fontId="0" fillId="9" borderId="0" xfId="1" applyFont="1" applyFill="1" applyBorder="1" applyAlignment="1" applyProtection="1">
      <alignment horizontal="center" vertical="center"/>
      <protection locked="0"/>
    </xf>
    <xf numFmtId="0" fontId="0" fillId="3" borderId="1" xfId="0" applyFill="1" applyBorder="1" applyAlignment="1">
      <alignment horizontal="center" vertical="center" wrapText="1"/>
    </xf>
    <xf numFmtId="0" fontId="1" fillId="2" borderId="1" xfId="0" applyFont="1" applyFill="1" applyBorder="1" applyAlignment="1">
      <alignment horizontal="center" vertical="center"/>
    </xf>
    <xf numFmtId="167" fontId="1" fillId="2" borderId="11" xfId="0" applyNumberFormat="1" applyFont="1" applyFill="1" applyBorder="1" applyAlignment="1">
      <alignment horizontal="center" vertical="center"/>
    </xf>
    <xf numFmtId="0" fontId="0" fillId="2" borderId="3" xfId="0" applyFill="1" applyBorder="1" applyAlignment="1">
      <alignment horizontal="center"/>
    </xf>
    <xf numFmtId="167" fontId="2" fillId="3" borderId="11" xfId="1" applyNumberFormat="1" applyFont="1" applyFill="1" applyBorder="1" applyAlignment="1" applyProtection="1">
      <alignment horizontal="center" vertical="center"/>
    </xf>
    <xf numFmtId="9" fontId="0" fillId="2" borderId="0" xfId="1" applyFont="1" applyFill="1" applyBorder="1" applyAlignment="1" applyProtection="1">
      <alignment horizontal="center" vertical="center"/>
    </xf>
    <xf numFmtId="0" fontId="0" fillId="2" borderId="3" xfId="0" applyFill="1" applyBorder="1" applyAlignment="1">
      <alignment vertical="center"/>
    </xf>
    <xf numFmtId="167" fontId="0" fillId="3" borderId="6" xfId="1" applyNumberFormat="1" applyFont="1" applyFill="1" applyBorder="1" applyAlignment="1" applyProtection="1">
      <alignment horizontal="center" vertical="center"/>
    </xf>
    <xf numFmtId="1" fontId="0" fillId="2" borderId="3" xfId="0" applyNumberFormat="1" applyFill="1" applyBorder="1" applyAlignment="1">
      <alignment horizontal="center" vertical="center"/>
    </xf>
    <xf numFmtId="1" fontId="1" fillId="2" borderId="3" xfId="0" applyNumberFormat="1" applyFont="1" applyFill="1" applyBorder="1" applyAlignment="1">
      <alignment horizontal="center" vertical="center"/>
    </xf>
    <xf numFmtId="0" fontId="17" fillId="2" borderId="4" xfId="0" applyFont="1" applyFill="1" applyBorder="1" applyAlignment="1">
      <alignment vertical="center"/>
    </xf>
    <xf numFmtId="1" fontId="17" fillId="2" borderId="4" xfId="0" applyNumberFormat="1" applyFont="1" applyFill="1" applyBorder="1" applyAlignment="1">
      <alignment horizontal="center" vertical="center"/>
    </xf>
    <xf numFmtId="1" fontId="18" fillId="0" borderId="1" xfId="0" applyNumberFormat="1" applyFont="1" applyBorder="1" applyAlignment="1">
      <alignment horizontal="center" vertical="center" wrapText="1"/>
    </xf>
    <xf numFmtId="167" fontId="17" fillId="3" borderId="13" xfId="1" applyNumberFormat="1" applyFont="1" applyFill="1" applyBorder="1" applyAlignment="1" applyProtection="1">
      <alignment horizontal="center" vertical="center"/>
    </xf>
    <xf numFmtId="1" fontId="0" fillId="9" borderId="0" xfId="1" applyNumberFormat="1" applyFont="1" applyFill="1" applyBorder="1" applyAlignment="1" applyProtection="1">
      <alignment horizontal="center" vertical="center"/>
      <protection locked="0"/>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2" borderId="0" xfId="0" applyFill="1"/>
    <xf numFmtId="0" fontId="1" fillId="3" borderId="2" xfId="0" applyFont="1" applyFill="1" applyBorder="1" applyAlignment="1">
      <alignment horizontal="center" vertical="center" wrapText="1"/>
    </xf>
    <xf numFmtId="0" fontId="0" fillId="3" borderId="2" xfId="0" applyFill="1" applyBorder="1" applyAlignment="1">
      <alignment horizontal="center"/>
    </xf>
    <xf numFmtId="0" fontId="0" fillId="3" borderId="2" xfId="0" applyFill="1" applyBorder="1" applyAlignment="1">
      <alignment horizontal="center" vertical="center"/>
    </xf>
    <xf numFmtId="0" fontId="0" fillId="0" borderId="2" xfId="0" applyBorder="1" applyAlignment="1">
      <alignment vertical="center"/>
    </xf>
    <xf numFmtId="0" fontId="18" fillId="3" borderId="0" xfId="0" applyFont="1" applyFill="1" applyAlignment="1">
      <alignment horizontal="center" vertical="center"/>
    </xf>
    <xf numFmtId="0" fontId="0" fillId="3" borderId="2" xfId="0" applyFill="1" applyBorder="1" applyAlignment="1">
      <alignment horizontal="center" vertical="center" wrapText="1"/>
    </xf>
    <xf numFmtId="166" fontId="1"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9" fontId="25" fillId="2" borderId="0" xfId="1" applyFont="1" applyFill="1" applyBorder="1" applyAlignment="1" applyProtection="1">
      <alignment horizontal="center" vertical="center"/>
    </xf>
    <xf numFmtId="0" fontId="0" fillId="3" borderId="0" xfId="0" applyFill="1" applyAlignment="1">
      <alignment horizontal="left" wrapText="1"/>
    </xf>
    <xf numFmtId="1" fontId="26" fillId="9" borderId="9" xfId="0" applyNumberFormat="1" applyFont="1" applyFill="1" applyBorder="1" applyAlignment="1">
      <alignment horizontal="center"/>
    </xf>
    <xf numFmtId="1" fontId="1" fillId="9" borderId="9" xfId="0" applyNumberFormat="1" applyFont="1" applyFill="1" applyBorder="1" applyAlignment="1">
      <alignment horizontal="center"/>
    </xf>
    <xf numFmtId="0" fontId="24" fillId="13" borderId="8" xfId="0" applyFont="1" applyFill="1" applyBorder="1" applyAlignment="1">
      <alignment horizontal="center" wrapText="1"/>
    </xf>
    <xf numFmtId="0" fontId="24" fillId="7" borderId="8" xfId="0" applyFont="1" applyFill="1" applyBorder="1" applyAlignment="1">
      <alignment horizontal="center" wrapText="1"/>
    </xf>
    <xf numFmtId="0" fontId="24" fillId="7" borderId="0" xfId="0" applyFont="1" applyFill="1" applyAlignment="1">
      <alignment horizontal="center" wrapText="1"/>
    </xf>
    <xf numFmtId="1" fontId="24" fillId="0" borderId="8" xfId="0" applyNumberFormat="1" applyFont="1" applyBorder="1" applyAlignment="1">
      <alignment horizontal="center"/>
    </xf>
    <xf numFmtId="1" fontId="24" fillId="0" borderId="10" xfId="0" applyNumberFormat="1" applyFont="1" applyBorder="1" applyAlignment="1">
      <alignment horizontal="center"/>
    </xf>
    <xf numFmtId="0" fontId="0" fillId="3" borderId="19" xfId="0" applyFill="1" applyBorder="1" applyAlignment="1">
      <alignment horizontal="center" vertical="center"/>
    </xf>
    <xf numFmtId="0" fontId="1" fillId="2" borderId="7" xfId="0" applyFont="1" applyFill="1" applyBorder="1" applyAlignment="1">
      <alignment vertical="center"/>
    </xf>
    <xf numFmtId="0" fontId="1" fillId="2" borderId="1" xfId="0" applyFont="1" applyFill="1" applyBorder="1" applyAlignment="1">
      <alignment vertical="center"/>
    </xf>
    <xf numFmtId="1" fontId="1" fillId="2" borderId="1" xfId="0" applyNumberFormat="1" applyFont="1" applyFill="1" applyBorder="1" applyAlignment="1">
      <alignment horizontal="center" vertical="center"/>
    </xf>
    <xf numFmtId="167" fontId="5" fillId="2" borderId="11" xfId="1" applyNumberFormat="1" applyFont="1" applyFill="1" applyBorder="1" applyAlignment="1">
      <alignment horizontal="center" vertical="center" shrinkToFit="1"/>
    </xf>
    <xf numFmtId="0" fontId="1" fillId="2" borderId="3" xfId="0" applyFont="1" applyFill="1" applyBorder="1" applyAlignment="1">
      <alignment vertical="center"/>
    </xf>
    <xf numFmtId="166" fontId="1" fillId="2" borderId="3" xfId="0" applyNumberFormat="1" applyFont="1" applyFill="1" applyBorder="1" applyAlignment="1">
      <alignment horizontal="center" vertical="center"/>
    </xf>
    <xf numFmtId="0" fontId="1" fillId="2" borderId="17" xfId="0" applyFont="1" applyFill="1" applyBorder="1" applyAlignment="1">
      <alignment vertical="center"/>
    </xf>
    <xf numFmtId="167" fontId="5" fillId="2" borderId="18" xfId="1" applyNumberFormat="1" applyFont="1" applyFill="1" applyBorder="1" applyAlignment="1">
      <alignment horizontal="center" vertical="center" shrinkToFit="1"/>
    </xf>
    <xf numFmtId="0" fontId="0" fillId="4" borderId="2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1" fontId="0" fillId="4" borderId="21" xfId="0" applyNumberFormat="1" applyFill="1" applyBorder="1" applyAlignment="1" applyProtection="1">
      <alignment horizontal="center" vertical="center"/>
      <protection locked="0"/>
    </xf>
    <xf numFmtId="1" fontId="0" fillId="4" borderId="22" xfId="0" applyNumberFormat="1" applyFill="1" applyBorder="1" applyAlignment="1" applyProtection="1">
      <alignment horizontal="center" vertical="center"/>
      <protection locked="0"/>
    </xf>
    <xf numFmtId="0" fontId="0" fillId="4" borderId="25" xfId="0" applyFill="1" applyBorder="1" applyAlignment="1" applyProtection="1">
      <alignment horizontal="left" vertical="center" wrapText="1"/>
      <protection locked="0"/>
    </xf>
    <xf numFmtId="0" fontId="0" fillId="4" borderId="26" xfId="0" applyFill="1" applyBorder="1" applyAlignment="1" applyProtection="1">
      <alignment horizontal="left" vertical="center" wrapText="1"/>
      <protection locked="0"/>
    </xf>
    <xf numFmtId="1" fontId="0" fillId="9" borderId="0" xfId="0" applyNumberFormat="1" applyFill="1" applyAlignment="1" applyProtection="1">
      <alignment horizontal="center" vertical="center" wrapText="1"/>
      <protection locked="0"/>
    </xf>
    <xf numFmtId="167" fontId="1" fillId="2" borderId="1" xfId="0" applyNumberFormat="1" applyFont="1" applyFill="1" applyBorder="1" applyAlignment="1">
      <alignment horizontal="center" vertical="center"/>
    </xf>
    <xf numFmtId="167" fontId="1" fillId="2" borderId="11" xfId="0" applyNumberFormat="1" applyFont="1" applyFill="1" applyBorder="1" applyAlignment="1">
      <alignment horizontal="center" vertical="center"/>
    </xf>
    <xf numFmtId="0" fontId="0" fillId="4" borderId="24" xfId="0" applyFill="1" applyBorder="1" applyAlignment="1" applyProtection="1">
      <alignment horizontal="left" vertical="center" wrapText="1"/>
      <protection locked="0"/>
    </xf>
    <xf numFmtId="0" fontId="0" fillId="4" borderId="25" xfId="0" applyFill="1" applyBorder="1" applyAlignment="1" applyProtection="1">
      <alignment horizontal="left" vertical="center" wrapText="1"/>
      <protection locked="0"/>
    </xf>
    <xf numFmtId="0" fontId="0" fillId="4" borderId="0" xfId="0" applyFill="1" applyAlignment="1" applyProtection="1">
      <alignment horizontal="left" vertical="center" wrapText="1"/>
      <protection locked="0"/>
    </xf>
    <xf numFmtId="0" fontId="0" fillId="3" borderId="0" xfId="0" applyFill="1" applyAlignment="1">
      <alignment horizontal="left" vertical="center"/>
    </xf>
    <xf numFmtId="0" fontId="0" fillId="3" borderId="0" xfId="0" applyFill="1" applyAlignment="1">
      <alignment horizontal="left" vertical="center" wrapText="1"/>
    </xf>
    <xf numFmtId="0" fontId="7" fillId="7" borderId="2" xfId="0" applyFont="1" applyFill="1" applyBorder="1" applyAlignment="1">
      <alignment horizontal="center"/>
    </xf>
    <xf numFmtId="0" fontId="7" fillId="7" borderId="0" xfId="0" applyFont="1" applyFill="1" applyAlignment="1">
      <alignment horizontal="center"/>
    </xf>
  </cellXfs>
  <cellStyles count="2">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62600395262004"/>
          <c:y val="0.18425260698455084"/>
          <c:w val="0.30920865352752752"/>
          <c:h val="0.66392047379619712"/>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A43-4DF0-BF1A-0930DFB3F00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A43-4DF0-BF1A-0930DFB3F00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A43-4DF0-BF1A-0930DFB3F00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A43-4DF0-BF1A-0930DFB3F00D}"/>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A43-4DF0-BF1A-0930DFB3F00D}"/>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4A43-4DF0-BF1A-0930DFB3F00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1-4A43-4DF0-BF1A-0930DFB3F00D}"/>
                </c:ext>
              </c:extLst>
            </c:dLbl>
            <c:dLbl>
              <c:idx val="1"/>
              <c:layout>
                <c:manualLayout>
                  <c:x val="8.2832331329325215E-2"/>
                  <c:y val="-0.2122776821572002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43-4DF0-BF1A-0930DFB3F00D}"/>
                </c:ext>
              </c:extLst>
            </c:dLbl>
            <c:dLbl>
              <c:idx val="2"/>
              <c:delete val="1"/>
              <c:extLst>
                <c:ext xmlns:c15="http://schemas.microsoft.com/office/drawing/2012/chart" uri="{CE6537A1-D6FC-4f65-9D91-7224C49458BB}"/>
                <c:ext xmlns:c16="http://schemas.microsoft.com/office/drawing/2014/chart" uri="{C3380CC4-5D6E-409C-BE32-E72D297353CC}">
                  <c16:uniqueId val="{00000005-4A43-4DF0-BF1A-0930DFB3F00D}"/>
                </c:ext>
              </c:extLst>
            </c:dLbl>
            <c:dLbl>
              <c:idx val="3"/>
              <c:layout>
                <c:manualLayout>
                  <c:x val="3.2064128256513023E-2"/>
                  <c:y val="-1.0518142023837516E-1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A43-4DF0-BF1A-0930DFB3F00D}"/>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9-4A43-4DF0-BF1A-0930DFB3F00D}"/>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B-4A43-4DF0-BF1A-0930DFB3F00D}"/>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'CO2 laskenta'!$B$36:$B$41</c:f>
              <c:strCache>
                <c:ptCount val="6"/>
                <c:pt idx="0">
                  <c:v>Tuotevaihe</c:v>
                </c:pt>
                <c:pt idx="1">
                  <c:v>Työmaan kuljetukset</c:v>
                </c:pt>
                <c:pt idx="2">
                  <c:v>#VIITTAUS!</c:v>
                </c:pt>
                <c:pt idx="3">
                  <c:v>Korjaukset ja uusimiset</c:v>
                </c:pt>
                <c:pt idx="4">
                  <c:v>Energiankäyttö</c:v>
                </c:pt>
                <c:pt idx="5">
                  <c:v>Purku</c:v>
                </c:pt>
              </c:strCache>
            </c:strRef>
          </c:cat>
          <c:val>
            <c:numRef>
              <c:f>'CO2 laskenta'!$C$36:$C$41</c:f>
              <c:numCache>
                <c:formatCode>0</c:formatCode>
                <c:ptCount val="6"/>
                <c:pt idx="0">
                  <c:v>564</c:v>
                </c:pt>
                <c:pt idx="1">
                  <c:v>20.399999999999999</c:v>
                </c:pt>
                <c:pt idx="2">
                  <c:v>0</c:v>
                </c:pt>
                <c:pt idx="3">
                  <c:v>87.5</c:v>
                </c:pt>
                <c:pt idx="4">
                  <c:v>444.56980350400011</c:v>
                </c:pt>
                <c:pt idx="5">
                  <c:v>10</c:v>
                </c:pt>
              </c:numCache>
            </c:numRef>
          </c:val>
          <c:extLst>
            <c:ext xmlns:c16="http://schemas.microsoft.com/office/drawing/2014/chart" uri="{C3380CC4-5D6E-409C-BE32-E72D297353CC}">
              <c16:uniqueId val="{0000000C-4A43-4DF0-BF1A-0930DFB3F00D}"/>
            </c:ext>
          </c:extLst>
        </c:ser>
        <c:dLbls>
          <c:dLblPos val="outEnd"/>
          <c:showLegendKey val="0"/>
          <c:showVal val="0"/>
          <c:showCatName val="0"/>
          <c:showSerName val="0"/>
          <c:showPercent val="1"/>
          <c:showBubbleSize val="0"/>
          <c:showLeaderLines val="0"/>
        </c:dLbls>
        <c:firstSliceAng val="0"/>
      </c:pie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'CO2 laskenta'!$A$60</c:f>
              <c:strCache>
                <c:ptCount val="1"/>
                <c:pt idx="0">
                  <c:v>A1-A3</c:v>
                </c:pt>
              </c:strCache>
            </c:strRef>
          </c:tx>
          <c:spPr>
            <a:solidFill>
              <a:schemeClr val="accent1"/>
            </a:solidFill>
            <a:ln>
              <a:noFill/>
            </a:ln>
            <a:effectLst>
              <a:outerShdw blurRad="63500" sx="102000" sy="102000" algn="ctr" rotWithShape="0">
                <a:prstClr val="black">
                  <a:alpha val="20000"/>
                </a:prstClr>
              </a:outerShdw>
            </a:effectLst>
          </c:spPr>
          <c:invertIfNegative val="0"/>
          <c:dPt>
            <c:idx val="1"/>
            <c:invertIfNegative val="0"/>
            <c:bubble3D val="0"/>
            <c:extLst>
              <c:ext xmlns:c16="http://schemas.microsoft.com/office/drawing/2014/chart" uri="{C3380CC4-5D6E-409C-BE32-E72D297353CC}">
                <c16:uniqueId val="{00000000-1AFD-499E-A65D-5A4CC309C740}"/>
              </c:ext>
            </c:extLst>
          </c:dPt>
          <c:dPt>
            <c:idx val="2"/>
            <c:invertIfNegative val="0"/>
            <c:bubble3D val="0"/>
            <c:extLst>
              <c:ext xmlns:c16="http://schemas.microsoft.com/office/drawing/2014/chart" uri="{C3380CC4-5D6E-409C-BE32-E72D297353CC}">
                <c16:uniqueId val="{00000001-1AFD-499E-A65D-5A4CC309C740}"/>
              </c:ext>
            </c:extLst>
          </c:dPt>
          <c:dPt>
            <c:idx val="3"/>
            <c:invertIfNegative val="0"/>
            <c:bubble3D val="0"/>
            <c:extLst>
              <c:ext xmlns:c16="http://schemas.microsoft.com/office/drawing/2014/chart" uri="{C3380CC4-5D6E-409C-BE32-E72D297353CC}">
                <c16:uniqueId val="{00000002-1AFD-499E-A65D-5A4CC309C740}"/>
              </c:ext>
            </c:extLst>
          </c:dPt>
          <c:dPt>
            <c:idx val="4"/>
            <c:invertIfNegative val="0"/>
            <c:bubble3D val="0"/>
            <c:extLst>
              <c:ext xmlns:c16="http://schemas.microsoft.com/office/drawing/2014/chart" uri="{C3380CC4-5D6E-409C-BE32-E72D297353CC}">
                <c16:uniqueId val="{00000003-1AFD-499E-A65D-5A4CC309C740}"/>
              </c:ext>
            </c:extLst>
          </c:dPt>
          <c:dPt>
            <c:idx val="5"/>
            <c:invertIfNegative val="0"/>
            <c:bubble3D val="0"/>
            <c:extLst>
              <c:ext xmlns:c16="http://schemas.microsoft.com/office/drawing/2014/chart" uri="{C3380CC4-5D6E-409C-BE32-E72D297353CC}">
                <c16:uniqueId val="{00000004-1AFD-499E-A65D-5A4CC309C740}"/>
              </c:ext>
            </c:extLst>
          </c:dPt>
          <c:dPt>
            <c:idx val="6"/>
            <c:invertIfNegative val="0"/>
            <c:bubble3D val="0"/>
            <c:extLst>
              <c:ext xmlns:c16="http://schemas.microsoft.com/office/drawing/2014/chart" uri="{C3380CC4-5D6E-409C-BE32-E72D297353CC}">
                <c16:uniqueId val="{00000005-1AFD-499E-A65D-5A4CC309C740}"/>
              </c:ext>
            </c:extLst>
          </c:dPt>
          <c:dPt>
            <c:idx val="7"/>
            <c:invertIfNegative val="0"/>
            <c:bubble3D val="0"/>
            <c:extLst>
              <c:ext xmlns:c16="http://schemas.microsoft.com/office/drawing/2014/chart" uri="{C3380CC4-5D6E-409C-BE32-E72D297353CC}">
                <c16:uniqueId val="{00000006-1AFD-499E-A65D-5A4CC309C740}"/>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'CO2 laskenta'!$C$59:$D$59</c:f>
              <c:strCache>
                <c:ptCount val="2"/>
                <c:pt idx="0">
                  <c:v>KOHDE</c:v>
                </c:pt>
                <c:pt idx="1">
                  <c:v>VERTAILUTASO</c:v>
                </c:pt>
              </c:strCache>
            </c:strRef>
          </c:cat>
          <c:val>
            <c:numRef>
              <c:f>'CO2 laskenta'!$C$60:$D$60</c:f>
              <c:numCache>
                <c:formatCode>General</c:formatCode>
                <c:ptCount val="2"/>
                <c:pt idx="0">
                  <c:v>564</c:v>
                </c:pt>
                <c:pt idx="1">
                  <c:v>564</c:v>
                </c:pt>
              </c:numCache>
            </c:numRef>
          </c:val>
          <c:extLst>
            <c:ext xmlns:c16="http://schemas.microsoft.com/office/drawing/2014/chart" uri="{C3380CC4-5D6E-409C-BE32-E72D297353CC}">
              <c16:uniqueId val="{00000007-1AFD-499E-A65D-5A4CC309C740}"/>
            </c:ext>
          </c:extLst>
        </c:ser>
        <c:ser>
          <c:idx val="1"/>
          <c:order val="1"/>
          <c:tx>
            <c:strRef>
              <c:f>'CO2 laskenta'!$A$61</c:f>
              <c:strCache>
                <c:ptCount val="1"/>
                <c:pt idx="0">
                  <c:v>A4 </c:v>
                </c:pt>
              </c:strCache>
            </c:strRef>
          </c:tx>
          <c:spPr>
            <a:solidFill>
              <a:schemeClr val="accent2"/>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laskenta'!$C$61:$D$61</c:f>
              <c:numCache>
                <c:formatCode>General</c:formatCode>
                <c:ptCount val="2"/>
                <c:pt idx="0">
                  <c:v>20.399999999999999</c:v>
                </c:pt>
                <c:pt idx="1">
                  <c:v>20.399999999999999</c:v>
                </c:pt>
              </c:numCache>
            </c:numRef>
          </c:val>
          <c:extLst>
            <c:ext xmlns:c16="http://schemas.microsoft.com/office/drawing/2014/chart" uri="{C3380CC4-5D6E-409C-BE32-E72D297353CC}">
              <c16:uniqueId val="{00000008-1AFD-499E-A65D-5A4CC309C740}"/>
            </c:ext>
          </c:extLst>
        </c:ser>
        <c:ser>
          <c:idx val="2"/>
          <c:order val="2"/>
          <c:tx>
            <c:strRef>
              <c:f>'CO2 laskenta'!$A$62</c:f>
              <c:strCache>
                <c:ptCount val="1"/>
                <c:pt idx="0">
                  <c:v>#VIITTAUS!</c:v>
                </c:pt>
              </c:strCache>
            </c:strRef>
          </c:tx>
          <c:spPr>
            <a:solidFill>
              <a:schemeClr val="accent3"/>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laskenta'!$C$62:$D$62</c:f>
              <c:numCache>
                <c:formatCode>General</c:formatCode>
                <c:ptCount val="2"/>
                <c:pt idx="0">
                  <c:v>0</c:v>
                </c:pt>
                <c:pt idx="1">
                  <c:v>0</c:v>
                </c:pt>
              </c:numCache>
            </c:numRef>
          </c:val>
          <c:extLst>
            <c:ext xmlns:c16="http://schemas.microsoft.com/office/drawing/2014/chart" uri="{C3380CC4-5D6E-409C-BE32-E72D297353CC}">
              <c16:uniqueId val="{00000009-1AFD-499E-A65D-5A4CC309C740}"/>
            </c:ext>
          </c:extLst>
        </c:ser>
        <c:ser>
          <c:idx val="3"/>
          <c:order val="3"/>
          <c:tx>
            <c:strRef>
              <c:f>'CO2 laskenta'!$A$63</c:f>
              <c:strCache>
                <c:ptCount val="1"/>
                <c:pt idx="0">
                  <c:v>B4</c:v>
                </c:pt>
              </c:strCache>
            </c:strRef>
          </c:tx>
          <c:spPr>
            <a:solidFill>
              <a:schemeClr val="accent4"/>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laskenta'!$C$63:$D$63</c:f>
              <c:numCache>
                <c:formatCode>General</c:formatCode>
                <c:ptCount val="2"/>
                <c:pt idx="0">
                  <c:v>87.5</c:v>
                </c:pt>
                <c:pt idx="1">
                  <c:v>87.5</c:v>
                </c:pt>
              </c:numCache>
            </c:numRef>
          </c:val>
          <c:extLst>
            <c:ext xmlns:c16="http://schemas.microsoft.com/office/drawing/2014/chart" uri="{C3380CC4-5D6E-409C-BE32-E72D297353CC}">
              <c16:uniqueId val="{0000000A-1AFD-499E-A65D-5A4CC309C740}"/>
            </c:ext>
          </c:extLst>
        </c:ser>
        <c:ser>
          <c:idx val="4"/>
          <c:order val="4"/>
          <c:tx>
            <c:strRef>
              <c:f>'CO2 laskenta'!$A$64</c:f>
              <c:strCache>
                <c:ptCount val="1"/>
                <c:pt idx="0">
                  <c:v>B6</c:v>
                </c:pt>
              </c:strCache>
            </c:strRef>
          </c:tx>
          <c:spPr>
            <a:solidFill>
              <a:schemeClr val="accent5"/>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laskenta'!$C$64:$D$64</c:f>
              <c:numCache>
                <c:formatCode>0</c:formatCode>
                <c:ptCount val="2"/>
                <c:pt idx="0">
                  <c:v>444.56980350400011</c:v>
                </c:pt>
                <c:pt idx="1">
                  <c:v>444.56980350400011</c:v>
                </c:pt>
              </c:numCache>
            </c:numRef>
          </c:val>
          <c:extLst>
            <c:ext xmlns:c16="http://schemas.microsoft.com/office/drawing/2014/chart" uri="{C3380CC4-5D6E-409C-BE32-E72D297353CC}">
              <c16:uniqueId val="{0000000B-1AFD-499E-A65D-5A4CC309C740}"/>
            </c:ext>
          </c:extLst>
        </c:ser>
        <c:ser>
          <c:idx val="7"/>
          <c:order val="5"/>
          <c:tx>
            <c:strRef>
              <c:f>'CO2 laskenta'!$A$65</c:f>
              <c:strCache>
                <c:ptCount val="1"/>
                <c:pt idx="0">
                  <c:v>C1-C4</c:v>
                </c:pt>
              </c:strCache>
            </c:strRef>
          </c:tx>
          <c:spPr>
            <a:solidFill>
              <a:schemeClr val="accent2">
                <a:lumMod val="60000"/>
              </a:schemeClr>
            </a:solidFill>
            <a:ln>
              <a:noFill/>
            </a:ln>
            <a:effectLst>
              <a:outerShdw blurRad="63500" sx="102000" sy="102000" algn="ctr" rotWithShape="0">
                <a:prstClr val="black">
                  <a:alpha val="20000"/>
                </a:prstClr>
              </a:outerShdw>
            </a:effectLst>
          </c:spPr>
          <c:invertIfNegative val="0"/>
          <c:cat>
            <c:strRef>
              <c:f>'CO2 laskenta'!$C$59:$D$59</c:f>
              <c:strCache>
                <c:ptCount val="2"/>
                <c:pt idx="0">
                  <c:v>KOHDE</c:v>
                </c:pt>
                <c:pt idx="1">
                  <c:v>VERTAILUTASO</c:v>
                </c:pt>
              </c:strCache>
            </c:strRef>
          </c:cat>
          <c:val>
            <c:numRef>
              <c:f>'CO2 laskenta'!$C$65:$D$65</c:f>
              <c:numCache>
                <c:formatCode>General</c:formatCode>
                <c:ptCount val="2"/>
                <c:pt idx="0">
                  <c:v>10</c:v>
                </c:pt>
                <c:pt idx="1">
                  <c:v>10</c:v>
                </c:pt>
              </c:numCache>
            </c:numRef>
          </c:val>
          <c:extLst>
            <c:ext xmlns:c16="http://schemas.microsoft.com/office/drawing/2014/chart" uri="{C3380CC4-5D6E-409C-BE32-E72D297353CC}">
              <c16:uniqueId val="{0000000C-1AFD-499E-A65D-5A4CC309C740}"/>
            </c:ext>
          </c:extLst>
        </c:ser>
        <c:dLbls>
          <c:showLegendKey val="0"/>
          <c:showVal val="0"/>
          <c:showCatName val="0"/>
          <c:showSerName val="0"/>
          <c:showPercent val="0"/>
          <c:showBubbleSize val="0"/>
        </c:dLbls>
        <c:gapWidth val="95"/>
        <c:overlap val="100"/>
        <c:axId val="430607792"/>
        <c:axId val="430611320"/>
      </c:barChart>
      <c:valAx>
        <c:axId val="430611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430607792"/>
        <c:crosses val="autoZero"/>
        <c:crossBetween val="between"/>
      </c:valAx>
      <c:catAx>
        <c:axId val="430607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i-FI"/>
          </a:p>
        </c:txPr>
        <c:crossAx val="430611320"/>
        <c:crosses val="autoZero"/>
        <c:auto val="1"/>
        <c:lblAlgn val="ctr"/>
        <c:lblOffset val="100"/>
        <c:noMultiLvlLbl val="0"/>
      </c:cat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87012795157406"/>
          <c:y val="0.18425242025469707"/>
          <c:w val="0.30920865352752752"/>
          <c:h val="0.66392047379619712"/>
        </c:manualLayout>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ED14-46F7-B491-160E08CCF465}"/>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D14-46F7-B491-160E08CCF465}"/>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D14-46F7-B491-160E08CCF465}"/>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D14-46F7-B491-160E08CCF465}"/>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D14-46F7-B491-160E08CCF465}"/>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D14-46F7-B491-160E08CCF465}"/>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1-ED14-46F7-B491-160E08CCF465}"/>
                </c:ext>
              </c:extLst>
            </c:dLbl>
            <c:dLbl>
              <c:idx val="1"/>
              <c:layout>
                <c:manualLayout>
                  <c:x val="8.2832331329325215E-2"/>
                  <c:y val="-0.2122776821572002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14-46F7-B491-160E08CCF465}"/>
                </c:ext>
              </c:extLst>
            </c:dLbl>
            <c:dLbl>
              <c:idx val="2"/>
              <c:delete val="1"/>
              <c:extLst>
                <c:ext xmlns:c15="http://schemas.microsoft.com/office/drawing/2012/chart" uri="{CE6537A1-D6FC-4f65-9D91-7224C49458BB}"/>
                <c:ext xmlns:c16="http://schemas.microsoft.com/office/drawing/2014/chart" uri="{C3380CC4-5D6E-409C-BE32-E72D297353CC}">
                  <c16:uniqueId val="{00000005-ED14-46F7-B491-160E08CCF465}"/>
                </c:ext>
              </c:extLst>
            </c:dLbl>
            <c:dLbl>
              <c:idx val="3"/>
              <c:layout>
                <c:manualLayout>
                  <c:x val="3.2064128256513023E-2"/>
                  <c:y val="-1.0518142023837516E-1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fi-FI"/>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D14-46F7-B491-160E08CCF465}"/>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9-ED14-46F7-B491-160E08CCF465}"/>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fi-FI"/>
                </a:p>
              </c:txPr>
              <c:dLblPos val="outEnd"/>
              <c:showLegendKey val="0"/>
              <c:showVal val="0"/>
              <c:showCatName val="1"/>
              <c:showSerName val="0"/>
              <c:showPercent val="1"/>
              <c:showBubbleSize val="0"/>
              <c:extLst>
                <c:ext xmlns:c16="http://schemas.microsoft.com/office/drawing/2014/chart" uri="{C3380CC4-5D6E-409C-BE32-E72D297353CC}">
                  <c16:uniqueId val="{0000000B-ED14-46F7-B491-160E08CCF465}"/>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'PK laskenta'!$A$39:$A$44</c:f>
              <c:strCache>
                <c:ptCount val="5"/>
                <c:pt idx="1">
                  <c:v>Aluerakenteet</c:v>
                </c:pt>
                <c:pt idx="2">
                  <c:v>Talo-osat</c:v>
                </c:pt>
                <c:pt idx="3">
                  <c:v>Tila-osat</c:v>
                </c:pt>
                <c:pt idx="4">
                  <c:v>Talotekniikka</c:v>
                </c:pt>
              </c:strCache>
            </c:strRef>
          </c:cat>
          <c:val>
            <c:numRef>
              <c:f>'PK laskenta'!$D$39:$D$44</c:f>
              <c:numCache>
                <c:formatCode>0</c:formatCode>
                <c:ptCount val="6"/>
              </c:numCache>
            </c:numRef>
          </c:val>
          <c:extLst>
            <c:ext xmlns:c16="http://schemas.microsoft.com/office/drawing/2014/chart" uri="{C3380CC4-5D6E-409C-BE32-E72D297353CC}">
              <c16:uniqueId val="{00000010-ED14-46F7-B491-160E08CCF465}"/>
            </c:ext>
          </c:extLst>
        </c:ser>
        <c:dLbls>
          <c:dLblPos val="outEnd"/>
          <c:showLegendKey val="0"/>
          <c:showVal val="0"/>
          <c:showCatName val="0"/>
          <c:showSerName val="0"/>
          <c:showPercent val="1"/>
          <c:showBubbleSize val="0"/>
          <c:showLeaderLines val="0"/>
        </c:dLbls>
        <c:firstSliceAng val="0"/>
      </c:pieChart>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'PK laskenta'!$A$40</c:f>
              <c:strCache>
                <c:ptCount val="1"/>
                <c:pt idx="0">
                  <c:v>Aluerakenteet</c:v>
                </c:pt>
              </c:strCache>
            </c:strRef>
          </c:tx>
          <c:spPr>
            <a:solidFill>
              <a:schemeClr val="accent1"/>
            </a:solidFill>
            <a:ln>
              <a:noFill/>
            </a:ln>
            <a:effectLst>
              <a:outerShdw blurRad="63500" sx="102000" sy="102000" algn="ctr" rotWithShape="0">
                <a:prstClr val="black">
                  <a:alpha val="20000"/>
                </a:prstClr>
              </a:outerShdw>
            </a:effectLst>
          </c:spPr>
          <c:invertIfNegative val="0"/>
          <c:dPt>
            <c:idx val="2"/>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E34E-4225-BAAF-3A6373F96512}"/>
              </c:ext>
            </c:extLst>
          </c:dPt>
          <c:dPt>
            <c:idx val="3"/>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E34E-4225-BAAF-3A6373F96512}"/>
              </c:ext>
            </c:extLst>
          </c:dPt>
          <c:dPt>
            <c:idx val="4"/>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E34E-4225-BAAF-3A6373F96512}"/>
              </c:ext>
            </c:extLst>
          </c:dPt>
          <c:dPt>
            <c:idx val="5"/>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E34E-4225-BAAF-3A6373F96512}"/>
              </c:ext>
            </c:extLst>
          </c:dPt>
          <c:dPt>
            <c:idx val="6"/>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E34E-4225-BAAF-3A6373F96512}"/>
              </c:ext>
            </c:extLst>
          </c:dPt>
          <c:dPt>
            <c:idx val="7"/>
            <c:invertIfNegative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E34E-4225-BAAF-3A6373F96512}"/>
              </c:ext>
            </c:extLst>
          </c:dPt>
          <c:cat>
            <c:strRef>
              <c:f>'PK laskenta'!$B$39:$C$39</c:f>
              <c:strCache>
                <c:ptCount val="2"/>
                <c:pt idx="0">
                  <c:v>Peruskorjaus</c:v>
                </c:pt>
                <c:pt idx="1">
                  <c:v>Vertailutaso</c:v>
                </c:pt>
              </c:strCache>
            </c:strRef>
          </c:cat>
          <c:val>
            <c:numRef>
              <c:f>'PK laskenta'!$B$40:$C$40</c:f>
              <c:numCache>
                <c:formatCode>0</c:formatCode>
                <c:ptCount val="2"/>
                <c:pt idx="0">
                  <c:v>0</c:v>
                </c:pt>
                <c:pt idx="1">
                  <c:v>40</c:v>
                </c:pt>
              </c:numCache>
            </c:numRef>
          </c:val>
          <c:extLst>
            <c:ext xmlns:c16="http://schemas.microsoft.com/office/drawing/2014/chart" uri="{C3380CC4-5D6E-409C-BE32-E72D297353CC}">
              <c16:uniqueId val="{0000000E-E34E-4225-BAAF-3A6373F96512}"/>
            </c:ext>
          </c:extLst>
        </c:ser>
        <c:ser>
          <c:idx val="1"/>
          <c:order val="1"/>
          <c:tx>
            <c:strRef>
              <c:f>'PK laskenta'!$A$41</c:f>
              <c:strCache>
                <c:ptCount val="1"/>
                <c:pt idx="0">
                  <c:v>Talo-osat</c:v>
                </c:pt>
              </c:strCache>
            </c:strRef>
          </c:tx>
          <c:spPr>
            <a:solidFill>
              <a:schemeClr val="accent2"/>
            </a:solidFill>
            <a:ln>
              <a:noFill/>
            </a:ln>
            <a:effectLst>
              <a:outerShdw blurRad="63500" sx="102000" sy="102000" algn="ctr" rotWithShape="0">
                <a:prstClr val="black">
                  <a:alpha val="20000"/>
                </a:prstClr>
              </a:outerShdw>
            </a:effectLst>
          </c:spPr>
          <c:invertIfNegative val="0"/>
          <c:cat>
            <c:strRef>
              <c:f>'PK laskenta'!$B$39:$C$39</c:f>
              <c:strCache>
                <c:ptCount val="2"/>
                <c:pt idx="0">
                  <c:v>Peruskorjaus</c:v>
                </c:pt>
                <c:pt idx="1">
                  <c:v>Vertailutaso</c:v>
                </c:pt>
              </c:strCache>
            </c:strRef>
          </c:cat>
          <c:val>
            <c:numRef>
              <c:f>'PK laskenta'!$B$41:$C$41</c:f>
              <c:numCache>
                <c:formatCode>0</c:formatCode>
                <c:ptCount val="2"/>
                <c:pt idx="0">
                  <c:v>0</c:v>
                </c:pt>
                <c:pt idx="1">
                  <c:v>360</c:v>
                </c:pt>
              </c:numCache>
            </c:numRef>
          </c:val>
          <c:extLst>
            <c:ext xmlns:c16="http://schemas.microsoft.com/office/drawing/2014/chart" uri="{C3380CC4-5D6E-409C-BE32-E72D297353CC}">
              <c16:uniqueId val="{0000000F-E34E-4225-BAAF-3A6373F96512}"/>
            </c:ext>
          </c:extLst>
        </c:ser>
        <c:ser>
          <c:idx val="2"/>
          <c:order val="2"/>
          <c:tx>
            <c:strRef>
              <c:f>'PK laskenta'!$A$42</c:f>
              <c:strCache>
                <c:ptCount val="1"/>
                <c:pt idx="0">
                  <c:v>Tila-osat</c:v>
                </c:pt>
              </c:strCache>
            </c:strRef>
          </c:tx>
          <c:spPr>
            <a:solidFill>
              <a:schemeClr val="accent3"/>
            </a:solidFill>
            <a:ln>
              <a:noFill/>
            </a:ln>
            <a:effectLst>
              <a:outerShdw blurRad="63500" sx="102000" sy="102000" algn="ctr" rotWithShape="0">
                <a:prstClr val="black">
                  <a:alpha val="20000"/>
                </a:prstClr>
              </a:outerShdw>
            </a:effectLst>
          </c:spPr>
          <c:invertIfNegative val="0"/>
          <c:cat>
            <c:strRef>
              <c:f>'PK laskenta'!$B$39:$C$39</c:f>
              <c:strCache>
                <c:ptCount val="2"/>
                <c:pt idx="0">
                  <c:v>Peruskorjaus</c:v>
                </c:pt>
                <c:pt idx="1">
                  <c:v>Vertailutaso</c:v>
                </c:pt>
              </c:strCache>
            </c:strRef>
          </c:cat>
          <c:val>
            <c:numRef>
              <c:f>'PK laskenta'!$B$42:$C$42</c:f>
              <c:numCache>
                <c:formatCode>0</c:formatCode>
                <c:ptCount val="2"/>
                <c:pt idx="0">
                  <c:v>0</c:v>
                </c:pt>
                <c:pt idx="1">
                  <c:v>59</c:v>
                </c:pt>
              </c:numCache>
            </c:numRef>
          </c:val>
          <c:extLst>
            <c:ext xmlns:c16="http://schemas.microsoft.com/office/drawing/2014/chart" uri="{C3380CC4-5D6E-409C-BE32-E72D297353CC}">
              <c16:uniqueId val="{00000010-E34E-4225-BAAF-3A6373F96512}"/>
            </c:ext>
          </c:extLst>
        </c:ser>
        <c:ser>
          <c:idx val="3"/>
          <c:order val="3"/>
          <c:tx>
            <c:strRef>
              <c:f>'PK laskenta'!$A$43</c:f>
              <c:strCache>
                <c:ptCount val="1"/>
                <c:pt idx="0">
                  <c:v>Talotekniikka</c:v>
                </c:pt>
              </c:strCache>
            </c:strRef>
          </c:tx>
          <c:spPr>
            <a:solidFill>
              <a:schemeClr val="accent4"/>
            </a:solidFill>
            <a:ln>
              <a:noFill/>
            </a:ln>
            <a:effectLst>
              <a:outerShdw blurRad="63500" sx="102000" sy="102000" algn="ctr" rotWithShape="0">
                <a:prstClr val="black">
                  <a:alpha val="20000"/>
                </a:prstClr>
              </a:outerShdw>
            </a:effectLst>
          </c:spPr>
          <c:invertIfNegative val="0"/>
          <c:cat>
            <c:strRef>
              <c:f>'PK laskenta'!$B$39:$C$39</c:f>
              <c:strCache>
                <c:ptCount val="2"/>
                <c:pt idx="0">
                  <c:v>Peruskorjaus</c:v>
                </c:pt>
                <c:pt idx="1">
                  <c:v>Vertailutaso</c:v>
                </c:pt>
              </c:strCache>
            </c:strRef>
          </c:cat>
          <c:val>
            <c:numRef>
              <c:f>'PK laskenta'!$B$43:$C$43</c:f>
              <c:numCache>
                <c:formatCode>0</c:formatCode>
                <c:ptCount val="2"/>
                <c:pt idx="0">
                  <c:v>0</c:v>
                </c:pt>
                <c:pt idx="1">
                  <c:v>105</c:v>
                </c:pt>
              </c:numCache>
            </c:numRef>
          </c:val>
          <c:extLst>
            <c:ext xmlns:c16="http://schemas.microsoft.com/office/drawing/2014/chart" uri="{C3380CC4-5D6E-409C-BE32-E72D297353CC}">
              <c16:uniqueId val="{00000011-E34E-4225-BAAF-3A6373F96512}"/>
            </c:ext>
          </c:extLst>
        </c:ser>
        <c:dLbls>
          <c:showLegendKey val="0"/>
          <c:showVal val="0"/>
          <c:showCatName val="0"/>
          <c:showSerName val="0"/>
          <c:showPercent val="0"/>
          <c:showBubbleSize val="0"/>
        </c:dLbls>
        <c:gapWidth val="95"/>
        <c:overlap val="100"/>
        <c:axId val="430607792"/>
        <c:axId val="430611320"/>
      </c:barChart>
      <c:valAx>
        <c:axId val="4306113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430607792"/>
        <c:crosses val="autoZero"/>
        <c:crossBetween val="between"/>
      </c:valAx>
      <c:catAx>
        <c:axId val="430607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i-FI"/>
          </a:p>
        </c:txPr>
        <c:crossAx val="430611320"/>
        <c:crosses val="autoZero"/>
        <c:auto val="1"/>
        <c:lblAlgn val="ctr"/>
        <c:lblOffset val="100"/>
        <c:noMultiLvlLbl val="0"/>
      </c:cat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Elinkaaren hiilijalanjäljen vertailutaso eri rakennustyypeissä</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bar"/>
        <c:grouping val="stacked"/>
        <c:varyColors val="0"/>
        <c:ser>
          <c:idx val="0"/>
          <c:order val="0"/>
          <c:tx>
            <c:strRef>
              <c:f>Taul1!$B$3</c:f>
              <c:strCache>
                <c:ptCount val="1"/>
                <c:pt idx="0">
                  <c:v>A1-A3</c:v>
                </c:pt>
              </c:strCache>
            </c:strRef>
          </c:tx>
          <c:spPr>
            <a:solidFill>
              <a:schemeClr val="accent1"/>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Taul1!$B$7:$B$14</c:f>
              <c:numCache>
                <c:formatCode>0</c:formatCode>
                <c:ptCount val="8"/>
                <c:pt idx="0">
                  <c:v>500</c:v>
                </c:pt>
                <c:pt idx="1">
                  <c:v>500</c:v>
                </c:pt>
                <c:pt idx="2">
                  <c:v>500</c:v>
                </c:pt>
                <c:pt idx="3">
                  <c:v>500</c:v>
                </c:pt>
                <c:pt idx="4">
                  <c:v>500</c:v>
                </c:pt>
                <c:pt idx="5">
                  <c:v>500</c:v>
                </c:pt>
                <c:pt idx="6">
                  <c:v>500</c:v>
                </c:pt>
                <c:pt idx="7">
                  <c:v>500</c:v>
                </c:pt>
              </c:numCache>
            </c:numRef>
          </c:val>
          <c:extLst>
            <c:ext xmlns:c16="http://schemas.microsoft.com/office/drawing/2014/chart" uri="{C3380CC4-5D6E-409C-BE32-E72D297353CC}">
              <c16:uniqueId val="{00000000-80FD-4BD0-A81A-930DC2337049}"/>
            </c:ext>
          </c:extLst>
        </c:ser>
        <c:ser>
          <c:idx val="1"/>
          <c:order val="1"/>
          <c:tx>
            <c:strRef>
              <c:f>Taul1!$C$3</c:f>
              <c:strCache>
                <c:ptCount val="1"/>
                <c:pt idx="0">
                  <c:v>A4-A5</c:v>
                </c:pt>
              </c:strCache>
            </c:strRef>
          </c:tx>
          <c:spPr>
            <a:solidFill>
              <a:schemeClr val="accent2"/>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Taul1!$C$7:$C$14</c:f>
              <c:numCache>
                <c:formatCode>0</c:formatCode>
                <c:ptCount val="8"/>
                <c:pt idx="0">
                  <c:v>39.4</c:v>
                </c:pt>
                <c:pt idx="1">
                  <c:v>39.4</c:v>
                </c:pt>
                <c:pt idx="2">
                  <c:v>39.4</c:v>
                </c:pt>
                <c:pt idx="3">
                  <c:v>39.4</c:v>
                </c:pt>
                <c:pt idx="4">
                  <c:v>39.4</c:v>
                </c:pt>
                <c:pt idx="5">
                  <c:v>39.4</c:v>
                </c:pt>
                <c:pt idx="6">
                  <c:v>39.4</c:v>
                </c:pt>
                <c:pt idx="7">
                  <c:v>39.4</c:v>
                </c:pt>
              </c:numCache>
            </c:numRef>
          </c:val>
          <c:extLst>
            <c:ext xmlns:c16="http://schemas.microsoft.com/office/drawing/2014/chart" uri="{C3380CC4-5D6E-409C-BE32-E72D297353CC}">
              <c16:uniqueId val="{00000001-80FD-4BD0-A81A-930DC2337049}"/>
            </c:ext>
          </c:extLst>
        </c:ser>
        <c:ser>
          <c:idx val="2"/>
          <c:order val="2"/>
          <c:tx>
            <c:strRef>
              <c:f>Taul1!$D$3</c:f>
              <c:strCache>
                <c:ptCount val="1"/>
                <c:pt idx="0">
                  <c:v>B1-B4</c:v>
                </c:pt>
              </c:strCache>
            </c:strRef>
          </c:tx>
          <c:spPr>
            <a:solidFill>
              <a:schemeClr val="accent3"/>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Taul1!$D$7:$D$14</c:f>
              <c:numCache>
                <c:formatCode>0</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2-80FD-4BD0-A81A-930DC2337049}"/>
            </c:ext>
          </c:extLst>
        </c:ser>
        <c:ser>
          <c:idx val="3"/>
          <c:order val="3"/>
          <c:tx>
            <c:strRef>
              <c:f>Taul1!$E$3</c:f>
              <c:strCache>
                <c:ptCount val="1"/>
                <c:pt idx="0">
                  <c:v>B3-B4</c:v>
                </c:pt>
              </c:strCache>
            </c:strRef>
          </c:tx>
          <c:spPr>
            <a:solidFill>
              <a:schemeClr val="accent4"/>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Taul1!$E$7:$E$14</c:f>
              <c:numCache>
                <c:formatCode>0</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3-80FD-4BD0-A81A-930DC2337049}"/>
            </c:ext>
          </c:extLst>
        </c:ser>
        <c:ser>
          <c:idx val="4"/>
          <c:order val="4"/>
          <c:tx>
            <c:strRef>
              <c:f>Taul1!$F$3</c:f>
              <c:strCache>
                <c:ptCount val="1"/>
                <c:pt idx="0">
                  <c:v>B6</c:v>
                </c:pt>
              </c:strCache>
            </c:strRef>
          </c:tx>
          <c:spPr>
            <a:solidFill>
              <a:schemeClr val="accent5"/>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Taul1!$F$7:$F$14</c:f>
              <c:numCache>
                <c:formatCode>0</c:formatCode>
                <c:ptCount val="8"/>
                <c:pt idx="0">
                  <c:v>1549.2133600000002</c:v>
                </c:pt>
                <c:pt idx="1">
                  <c:v>1045.1544400000002</c:v>
                </c:pt>
                <c:pt idx="2">
                  <c:v>862.98345200000017</c:v>
                </c:pt>
                <c:pt idx="3">
                  <c:v>988.15861000000029</c:v>
                </c:pt>
                <c:pt idx="4">
                  <c:v>1920.0005999999998</c:v>
                </c:pt>
                <c:pt idx="5">
                  <c:v>1277.6929560000003</c:v>
                </c:pt>
                <c:pt idx="6">
                  <c:v>1291.0723000000003</c:v>
                </c:pt>
                <c:pt idx="7">
                  <c:v>3544.62248</c:v>
                </c:pt>
              </c:numCache>
            </c:numRef>
          </c:val>
          <c:extLst>
            <c:ext xmlns:c16="http://schemas.microsoft.com/office/drawing/2014/chart" uri="{C3380CC4-5D6E-409C-BE32-E72D297353CC}">
              <c16:uniqueId val="{00000004-80FD-4BD0-A81A-930DC2337049}"/>
            </c:ext>
          </c:extLst>
        </c:ser>
        <c:ser>
          <c:idx val="5"/>
          <c:order val="5"/>
          <c:tx>
            <c:strRef>
              <c:f>Taul1!$G$3</c:f>
              <c:strCache>
                <c:ptCount val="1"/>
                <c:pt idx="0">
                  <c:v>C</c:v>
                </c:pt>
              </c:strCache>
            </c:strRef>
          </c:tx>
          <c:spPr>
            <a:solidFill>
              <a:schemeClr val="accent6"/>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Taul1!$G$7:$G$14</c:f>
              <c:numCache>
                <c:formatCode>0</c:formatCode>
                <c:ptCount val="8"/>
                <c:pt idx="0">
                  <c:v>20</c:v>
                </c:pt>
                <c:pt idx="1">
                  <c:v>20</c:v>
                </c:pt>
                <c:pt idx="2">
                  <c:v>20</c:v>
                </c:pt>
                <c:pt idx="3">
                  <c:v>20</c:v>
                </c:pt>
                <c:pt idx="4">
                  <c:v>20</c:v>
                </c:pt>
                <c:pt idx="5">
                  <c:v>20</c:v>
                </c:pt>
                <c:pt idx="6">
                  <c:v>20</c:v>
                </c:pt>
                <c:pt idx="7">
                  <c:v>20</c:v>
                </c:pt>
              </c:numCache>
            </c:numRef>
          </c:val>
          <c:extLst>
            <c:ext xmlns:c16="http://schemas.microsoft.com/office/drawing/2014/chart" uri="{C3380CC4-5D6E-409C-BE32-E72D297353CC}">
              <c16:uniqueId val="{00000005-80FD-4BD0-A81A-930DC2337049}"/>
            </c:ext>
          </c:extLst>
        </c:ser>
        <c:dLbls>
          <c:showLegendKey val="0"/>
          <c:showVal val="0"/>
          <c:showCatName val="0"/>
          <c:showSerName val="0"/>
          <c:showPercent val="0"/>
          <c:showBubbleSize val="0"/>
        </c:dLbls>
        <c:gapWidth val="150"/>
        <c:overlap val="100"/>
        <c:axId val="640941696"/>
        <c:axId val="640945304"/>
      </c:barChart>
      <c:catAx>
        <c:axId val="6409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5304"/>
        <c:crosses val="autoZero"/>
        <c:auto val="1"/>
        <c:lblAlgn val="ctr"/>
        <c:lblOffset val="100"/>
        <c:noMultiLvlLbl val="0"/>
      </c:catAx>
      <c:valAx>
        <c:axId val="6409453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Elinkaaren vaiheiden merkitys eri rakennustyypeissä</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bar"/>
        <c:grouping val="stacked"/>
        <c:varyColors val="0"/>
        <c:ser>
          <c:idx val="0"/>
          <c:order val="0"/>
          <c:tx>
            <c:strRef>
              <c:f>Taul1!$I$3</c:f>
              <c:strCache>
                <c:ptCount val="1"/>
                <c:pt idx="0">
                  <c:v>Rakentaminen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Taul1!$I$7:$I$14</c:f>
              <c:numCache>
                <c:formatCode>0%</c:formatCode>
                <c:ptCount val="8"/>
                <c:pt idx="0">
                  <c:v>0.25989626950785727</c:v>
                </c:pt>
                <c:pt idx="1">
                  <c:v>0.33249204717813885</c:v>
                </c:pt>
                <c:pt idx="2">
                  <c:v>0.36982625732550928</c:v>
                </c:pt>
                <c:pt idx="3">
                  <c:v>0.34333612421731591</c:v>
                </c:pt>
                <c:pt idx="4">
                  <c:v>0.2239306806156571</c:v>
                </c:pt>
                <c:pt idx="5">
                  <c:v>0.294537369162647</c:v>
                </c:pt>
                <c:pt idx="6">
                  <c:v>0.29261551107030309</c:v>
                </c:pt>
                <c:pt idx="7">
                  <c:v>0.13940447634464959</c:v>
                </c:pt>
              </c:numCache>
            </c:numRef>
          </c:val>
          <c:extLst>
            <c:ext xmlns:c16="http://schemas.microsoft.com/office/drawing/2014/chart" uri="{C3380CC4-5D6E-409C-BE32-E72D297353CC}">
              <c16:uniqueId val="{00000000-AF08-46E3-8A6D-6EF430651EF5}"/>
            </c:ext>
          </c:extLst>
        </c:ser>
        <c:ser>
          <c:idx val="1"/>
          <c:order val="1"/>
          <c:tx>
            <c:strRef>
              <c:f>Taul1!$J$3</c:f>
              <c:strCache>
                <c:ptCount val="1"/>
                <c:pt idx="0">
                  <c:v>Energiankäyttö</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Taul1!$J$7:$J$14</c:f>
              <c:numCache>
                <c:formatCode>0%</c:formatCode>
                <c:ptCount val="8"/>
                <c:pt idx="0">
                  <c:v>0.67105795489288855</c:v>
                </c:pt>
                <c:pt idx="1">
                  <c:v>0.57917589895486887</c:v>
                </c:pt>
                <c:pt idx="2">
                  <c:v>0.53192323364501393</c:v>
                </c:pt>
                <c:pt idx="3">
                  <c:v>0.56545091211561715</c:v>
                </c:pt>
                <c:pt idx="4">
                  <c:v>0.71657840190078326</c:v>
                </c:pt>
                <c:pt idx="5">
                  <c:v>0.62721386976314308</c:v>
                </c:pt>
                <c:pt idx="6">
                  <c:v>0.62964630148868628</c:v>
                </c:pt>
                <c:pt idx="7">
                  <c:v>0.82356040110645523</c:v>
                </c:pt>
              </c:numCache>
            </c:numRef>
          </c:val>
          <c:extLst>
            <c:ext xmlns:c16="http://schemas.microsoft.com/office/drawing/2014/chart" uri="{C3380CC4-5D6E-409C-BE32-E72D297353CC}">
              <c16:uniqueId val="{00000001-AF08-46E3-8A6D-6EF430651EF5}"/>
            </c:ext>
          </c:extLst>
        </c:ser>
        <c:ser>
          <c:idx val="2"/>
          <c:order val="2"/>
          <c:tx>
            <c:strRef>
              <c:f>Taul1!$K$3</c:f>
              <c:strCache>
                <c:ptCount val="1"/>
                <c:pt idx="0">
                  <c:v>Kiinteät</c:v>
                </c:pt>
              </c:strCache>
            </c:strRef>
          </c:tx>
          <c:spPr>
            <a:solidFill>
              <a:schemeClr val="accent3"/>
            </a:solidFill>
            <a:ln>
              <a:noFill/>
            </a:ln>
            <a:effectLst/>
          </c:spPr>
          <c:invertIfNegative val="0"/>
          <c:cat>
            <c:strRef>
              <c:f>Taul1!$A$7:$A$14</c:f>
              <c:strCache>
                <c:ptCount val="8"/>
                <c:pt idx="0">
                  <c:v>Rivi- ja ketjutalo</c:v>
                </c:pt>
                <c:pt idx="1">
                  <c:v>Asuinkerrostalo</c:v>
                </c:pt>
                <c:pt idx="2">
                  <c:v>Toimistorakennus</c:v>
                </c:pt>
                <c:pt idx="3">
                  <c:v>Liikerakennus</c:v>
                </c:pt>
                <c:pt idx="4">
                  <c:v>Majoitusliikerakennus</c:v>
                </c:pt>
                <c:pt idx="5">
                  <c:v>Opetusrakennus ja päiväkoti</c:v>
                </c:pt>
                <c:pt idx="6">
                  <c:v>Liikuntahalli</c:v>
                </c:pt>
                <c:pt idx="7">
                  <c:v>Sairaala</c:v>
                </c:pt>
              </c:strCache>
            </c:strRef>
          </c:cat>
          <c:val>
            <c:numRef>
              <c:f>Taul1!$K$7:$K$14</c:f>
              <c:numCache>
                <c:formatCode>0%</c:formatCode>
                <c:ptCount val="8"/>
                <c:pt idx="0">
                  <c:v>6.9045775599254178E-2</c:v>
                </c:pt>
                <c:pt idx="1">
                  <c:v>8.8332053866992277E-2</c:v>
                </c:pt>
                <c:pt idx="2">
                  <c:v>9.8250509029476796E-2</c:v>
                </c:pt>
                <c:pt idx="3">
                  <c:v>9.1212963667066937E-2</c:v>
                </c:pt>
                <c:pt idx="4">
                  <c:v>5.9490917483559641E-2</c:v>
                </c:pt>
                <c:pt idx="5">
                  <c:v>7.8248761074209916E-2</c:v>
                </c:pt>
                <c:pt idx="6">
                  <c:v>7.7738187441010631E-2</c:v>
                </c:pt>
                <c:pt idx="7">
                  <c:v>3.7035122548895183E-2</c:v>
                </c:pt>
              </c:numCache>
            </c:numRef>
          </c:val>
          <c:extLst>
            <c:ext xmlns:c16="http://schemas.microsoft.com/office/drawing/2014/chart" uri="{C3380CC4-5D6E-409C-BE32-E72D297353CC}">
              <c16:uniqueId val="{00000002-AF08-46E3-8A6D-6EF430651EF5}"/>
            </c:ext>
          </c:extLst>
        </c:ser>
        <c:dLbls>
          <c:showLegendKey val="0"/>
          <c:showVal val="0"/>
          <c:showCatName val="0"/>
          <c:showSerName val="0"/>
          <c:showPercent val="0"/>
          <c:showBubbleSize val="0"/>
        </c:dLbls>
        <c:gapWidth val="150"/>
        <c:overlap val="100"/>
        <c:axId val="640941696"/>
        <c:axId val="640945304"/>
      </c:barChart>
      <c:catAx>
        <c:axId val="6409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5304"/>
        <c:crosses val="autoZero"/>
        <c:auto val="1"/>
        <c:lblAlgn val="ctr"/>
        <c:lblOffset val="100"/>
        <c:noMultiLvlLbl val="0"/>
      </c:catAx>
      <c:valAx>
        <c:axId val="6409453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Säästötoimenpiteiden vaikutus</a:t>
            </a:r>
            <a:r>
              <a:rPr lang="fi-FI" baseline="0"/>
              <a:t> elinkaareen</a:t>
            </a:r>
            <a:endParaRPr lang="fi-FI"/>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barChart>
        <c:barDir val="bar"/>
        <c:grouping val="clustered"/>
        <c:varyColors val="0"/>
        <c:ser>
          <c:idx val="0"/>
          <c:order val="0"/>
          <c:tx>
            <c:strRef>
              <c:f>Taul1!$A$7</c:f>
              <c:strCache>
                <c:ptCount val="1"/>
                <c:pt idx="0">
                  <c:v>Rivi- ja ketjutalo</c:v>
                </c:pt>
              </c:strCache>
            </c:strRef>
          </c:tx>
          <c:spPr>
            <a:solidFill>
              <a:schemeClr val="accent1"/>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Taul1!$M$7:$P$7</c:f>
              <c:numCache>
                <c:formatCode>0%</c:formatCode>
                <c:ptCount val="4"/>
                <c:pt idx="0">
                  <c:v>9.3948113685004386E-2</c:v>
                </c:pt>
                <c:pt idx="1">
                  <c:v>0.31316037895001464</c:v>
                </c:pt>
                <c:pt idx="2">
                  <c:v>7.7968880852357175E-2</c:v>
                </c:pt>
                <c:pt idx="3">
                  <c:v>0.19492220213089295</c:v>
                </c:pt>
              </c:numCache>
            </c:numRef>
          </c:val>
          <c:extLst>
            <c:ext xmlns:c16="http://schemas.microsoft.com/office/drawing/2014/chart" uri="{C3380CC4-5D6E-409C-BE32-E72D297353CC}">
              <c16:uniqueId val="{00000000-85DF-4287-BF3B-188DB061E184}"/>
            </c:ext>
          </c:extLst>
        </c:ser>
        <c:ser>
          <c:idx val="1"/>
          <c:order val="1"/>
          <c:tx>
            <c:strRef>
              <c:f>Taul1!$A$8</c:f>
              <c:strCache>
                <c:ptCount val="1"/>
                <c:pt idx="0">
                  <c:v>Asuinkerrostalo</c:v>
                </c:pt>
              </c:strCache>
            </c:strRef>
          </c:tx>
          <c:spPr>
            <a:solidFill>
              <a:schemeClr val="accent2"/>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Taul1!$M$8:$P$8</c:f>
              <c:numCache>
                <c:formatCode>0%</c:formatCode>
                <c:ptCount val="4"/>
                <c:pt idx="0">
                  <c:v>7.1431694204433821E-2</c:v>
                </c:pt>
                <c:pt idx="1">
                  <c:v>0.23810564734811274</c:v>
                </c:pt>
                <c:pt idx="2">
                  <c:v>9.9747614153441647E-2</c:v>
                </c:pt>
                <c:pt idx="3">
                  <c:v>0.24936903538360414</c:v>
                </c:pt>
              </c:numCache>
            </c:numRef>
          </c:val>
          <c:extLst>
            <c:ext xmlns:c16="http://schemas.microsoft.com/office/drawing/2014/chart" uri="{C3380CC4-5D6E-409C-BE32-E72D297353CC}">
              <c16:uniqueId val="{00000001-85DF-4287-BF3B-188DB061E184}"/>
            </c:ext>
          </c:extLst>
        </c:ser>
        <c:ser>
          <c:idx val="2"/>
          <c:order val="2"/>
          <c:tx>
            <c:strRef>
              <c:f>Taul1!$A$9</c:f>
              <c:strCache>
                <c:ptCount val="1"/>
                <c:pt idx="0">
                  <c:v>Toimistorakennus</c:v>
                </c:pt>
              </c:strCache>
            </c:strRef>
          </c:tx>
          <c:spPr>
            <a:solidFill>
              <a:schemeClr val="accent3"/>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Taul1!$M$9:$P$9</c:f>
              <c:numCache>
                <c:formatCode>0%</c:formatCode>
                <c:ptCount val="4"/>
                <c:pt idx="0">
                  <c:v>7.0213866841141823E-2</c:v>
                </c:pt>
                <c:pt idx="1">
                  <c:v>0.2340462228038061</c:v>
                </c:pt>
                <c:pt idx="2">
                  <c:v>0.11094787719765278</c:v>
                </c:pt>
                <c:pt idx="3">
                  <c:v>0.27736969299413194</c:v>
                </c:pt>
              </c:numCache>
            </c:numRef>
          </c:val>
          <c:extLst>
            <c:ext xmlns:c16="http://schemas.microsoft.com/office/drawing/2014/chart" uri="{C3380CC4-5D6E-409C-BE32-E72D297353CC}">
              <c16:uniqueId val="{00000002-85DF-4287-BF3B-188DB061E184}"/>
            </c:ext>
          </c:extLst>
        </c:ser>
        <c:ser>
          <c:idx val="3"/>
          <c:order val="3"/>
          <c:tx>
            <c:strRef>
              <c:f>Taul1!$A$10</c:f>
              <c:strCache>
                <c:ptCount val="1"/>
                <c:pt idx="0">
                  <c:v>Liikerakennus</c:v>
                </c:pt>
              </c:strCache>
            </c:strRef>
          </c:tx>
          <c:spPr>
            <a:solidFill>
              <a:schemeClr val="accent4"/>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Taul1!$M$10:$P$10</c:f>
              <c:numCache>
                <c:formatCode>0%</c:formatCode>
                <c:ptCount val="4"/>
                <c:pt idx="0">
                  <c:v>9.0472145938498741E-2</c:v>
                </c:pt>
                <c:pt idx="1">
                  <c:v>0.30157381979499581</c:v>
                </c:pt>
                <c:pt idx="2">
                  <c:v>0.10300083726519477</c:v>
                </c:pt>
                <c:pt idx="3">
                  <c:v>0.25750209316298694</c:v>
                </c:pt>
              </c:numCache>
            </c:numRef>
          </c:val>
          <c:extLst>
            <c:ext xmlns:c16="http://schemas.microsoft.com/office/drawing/2014/chart" uri="{C3380CC4-5D6E-409C-BE32-E72D297353CC}">
              <c16:uniqueId val="{00000003-85DF-4287-BF3B-188DB061E184}"/>
            </c:ext>
          </c:extLst>
        </c:ser>
        <c:ser>
          <c:idx val="4"/>
          <c:order val="4"/>
          <c:tx>
            <c:strRef>
              <c:f>Taul1!$A$11</c:f>
              <c:strCache>
                <c:ptCount val="1"/>
                <c:pt idx="0">
                  <c:v>Majoitusliikerakennus</c:v>
                </c:pt>
              </c:strCache>
            </c:strRef>
          </c:tx>
          <c:spPr>
            <a:solidFill>
              <a:schemeClr val="accent5"/>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Taul1!$M$11:$P$11</c:f>
              <c:numCache>
                <c:formatCode>0%</c:formatCode>
                <c:ptCount val="4"/>
                <c:pt idx="0">
                  <c:v>0.13032769684570494</c:v>
                </c:pt>
                <c:pt idx="1">
                  <c:v>0.43442565615234979</c:v>
                </c:pt>
                <c:pt idx="2">
                  <c:v>6.7179204184697125E-2</c:v>
                </c:pt>
                <c:pt idx="3">
                  <c:v>0.16794801046174282</c:v>
                </c:pt>
              </c:numCache>
            </c:numRef>
          </c:val>
          <c:extLst>
            <c:ext xmlns:c16="http://schemas.microsoft.com/office/drawing/2014/chart" uri="{C3380CC4-5D6E-409C-BE32-E72D297353CC}">
              <c16:uniqueId val="{00000004-85DF-4287-BF3B-188DB061E184}"/>
            </c:ext>
          </c:extLst>
        </c:ser>
        <c:ser>
          <c:idx val="5"/>
          <c:order val="5"/>
          <c:tx>
            <c:strRef>
              <c:f>Taul1!$A$12</c:f>
              <c:strCache>
                <c:ptCount val="1"/>
                <c:pt idx="0">
                  <c:v>Opetusrakennus ja päiväkoti</c:v>
                </c:pt>
              </c:strCache>
            </c:strRef>
          </c:tx>
          <c:spPr>
            <a:solidFill>
              <a:schemeClr val="accent6"/>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Taul1!$M$12:$P$12</c:f>
              <c:numCache>
                <c:formatCode>0%</c:formatCode>
                <c:ptCount val="4"/>
                <c:pt idx="0">
                  <c:v>6.9620739543708884E-2</c:v>
                </c:pt>
                <c:pt idx="1">
                  <c:v>0.23206913181236294</c:v>
                </c:pt>
                <c:pt idx="2">
                  <c:v>8.8361210748794092E-2</c:v>
                </c:pt>
                <c:pt idx="3">
                  <c:v>0.22090302687198526</c:v>
                </c:pt>
              </c:numCache>
            </c:numRef>
          </c:val>
          <c:extLst>
            <c:ext xmlns:c16="http://schemas.microsoft.com/office/drawing/2014/chart" uri="{C3380CC4-5D6E-409C-BE32-E72D297353CC}">
              <c16:uniqueId val="{00000005-85DF-4287-BF3B-188DB061E184}"/>
            </c:ext>
          </c:extLst>
        </c:ser>
        <c:ser>
          <c:idx val="6"/>
          <c:order val="6"/>
          <c:tx>
            <c:strRef>
              <c:f>Taul1!$A$13</c:f>
              <c:strCache>
                <c:ptCount val="1"/>
                <c:pt idx="0">
                  <c:v>Liikuntahalli</c:v>
                </c:pt>
              </c:strCache>
            </c:strRef>
          </c:tx>
          <c:spPr>
            <a:solidFill>
              <a:schemeClr val="accent1">
                <a:lumMod val="60000"/>
              </a:schemeClr>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Taul1!$M$13:$P$13</c:f>
              <c:numCache>
                <c:formatCode>0%</c:formatCode>
                <c:ptCount val="4"/>
                <c:pt idx="0">
                  <c:v>6.989073946524417E-2</c:v>
                </c:pt>
                <c:pt idx="1">
                  <c:v>0.23296913155081392</c:v>
                </c:pt>
                <c:pt idx="2">
                  <c:v>8.7784653321090922E-2</c:v>
                </c:pt>
                <c:pt idx="3">
                  <c:v>0.21946163330272733</c:v>
                </c:pt>
              </c:numCache>
            </c:numRef>
          </c:val>
          <c:extLst>
            <c:ext xmlns:c16="http://schemas.microsoft.com/office/drawing/2014/chart" uri="{C3380CC4-5D6E-409C-BE32-E72D297353CC}">
              <c16:uniqueId val="{00000006-85DF-4287-BF3B-188DB061E184}"/>
            </c:ext>
          </c:extLst>
        </c:ser>
        <c:ser>
          <c:idx val="7"/>
          <c:order val="7"/>
          <c:tx>
            <c:strRef>
              <c:f>Taul1!$A$14</c:f>
              <c:strCache>
                <c:ptCount val="1"/>
                <c:pt idx="0">
                  <c:v>Sairaala</c:v>
                </c:pt>
              </c:strCache>
            </c:strRef>
          </c:tx>
          <c:spPr>
            <a:solidFill>
              <a:schemeClr val="accent2">
                <a:lumMod val="60000"/>
              </a:schemeClr>
            </a:solidFill>
            <a:ln>
              <a:noFill/>
            </a:ln>
            <a:effectLst/>
          </c:spPr>
          <c:invertIfNegative val="0"/>
          <c:cat>
            <c:strRef>
              <c:f>Taul1!$M$3:$P$3</c:f>
              <c:strCache>
                <c:ptCount val="4"/>
                <c:pt idx="0">
                  <c:v>30% säästö</c:v>
                </c:pt>
                <c:pt idx="1">
                  <c:v>A++energialuokka</c:v>
                </c:pt>
                <c:pt idx="2">
                  <c:v>Rakentaminen -40% 
vertailutasosta (300 kg/m2)</c:v>
                </c:pt>
                <c:pt idx="3">
                  <c:v>Peruskorjaus
energia vertailutasoa</c:v>
                </c:pt>
              </c:strCache>
            </c:strRef>
          </c:cat>
          <c:val>
            <c:numRef>
              <c:f>Taul1!$M$14:$P$14</c:f>
              <c:numCache>
                <c:formatCode>0%</c:formatCode>
                <c:ptCount val="4"/>
                <c:pt idx="0">
                  <c:v>0.16599889334801987</c:v>
                </c:pt>
                <c:pt idx="1">
                  <c:v>0.55332964449339961</c:v>
                </c:pt>
                <c:pt idx="2">
                  <c:v>4.1821342903394877E-2</c:v>
                </c:pt>
                <c:pt idx="3">
                  <c:v>0.10455335725848719</c:v>
                </c:pt>
              </c:numCache>
            </c:numRef>
          </c:val>
          <c:extLst>
            <c:ext xmlns:c16="http://schemas.microsoft.com/office/drawing/2014/chart" uri="{C3380CC4-5D6E-409C-BE32-E72D297353CC}">
              <c16:uniqueId val="{00000007-85DF-4287-BF3B-188DB061E184}"/>
            </c:ext>
          </c:extLst>
        </c:ser>
        <c:dLbls>
          <c:showLegendKey val="0"/>
          <c:showVal val="0"/>
          <c:showCatName val="0"/>
          <c:showSerName val="0"/>
          <c:showPercent val="0"/>
          <c:showBubbleSize val="0"/>
        </c:dLbls>
        <c:gapWidth val="150"/>
        <c:axId val="640941696"/>
        <c:axId val="640945304"/>
      </c:barChart>
      <c:catAx>
        <c:axId val="640941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5304"/>
        <c:crosses val="autoZero"/>
        <c:auto val="1"/>
        <c:lblAlgn val="ctr"/>
        <c:lblOffset val="100"/>
        <c:noMultiLvlLbl val="0"/>
      </c:catAx>
      <c:valAx>
        <c:axId val="64094530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64094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387682</xdr:colOff>
      <xdr:row>24</xdr:row>
      <xdr:rowOff>216783</xdr:rowOff>
    </xdr:from>
    <xdr:to>
      <xdr:col>1</xdr:col>
      <xdr:colOff>5084444</xdr:colOff>
      <xdr:row>29</xdr:row>
      <xdr:rowOff>2512695</xdr:rowOff>
    </xdr:to>
    <xdr:pic>
      <xdr:nvPicPr>
        <xdr:cNvPr id="2" name="Kuva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1917"/>
        <a:stretch/>
      </xdr:blipFill>
      <xdr:spPr bwMode="auto">
        <a:xfrm>
          <a:off x="387682" y="12399258"/>
          <a:ext cx="5169202" cy="3629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1609725</xdr:colOff>
      <xdr:row>27</xdr:row>
      <xdr:rowOff>0</xdr:rowOff>
    </xdr:from>
    <xdr:to>
      <xdr:col>1</xdr:col>
      <xdr:colOff>2419350</xdr:colOff>
      <xdr:row>29</xdr:row>
      <xdr:rowOff>381000</xdr:rowOff>
    </xdr:to>
    <xdr:sp macro="" textlink="">
      <xdr:nvSpPr>
        <xdr:cNvPr id="3" name="Suorakulmio 2">
          <a:extLst>
            <a:ext uri="{FF2B5EF4-FFF2-40B4-BE49-F238E27FC236}">
              <a16:creationId xmlns:a16="http://schemas.microsoft.com/office/drawing/2014/main" id="{EEF5F05F-918E-E52B-AC1E-38FB217D664B}"/>
            </a:ext>
          </a:extLst>
        </xdr:cNvPr>
        <xdr:cNvSpPr/>
      </xdr:nvSpPr>
      <xdr:spPr>
        <a:xfrm>
          <a:off x="2085975" y="12982575"/>
          <a:ext cx="809625" cy="9144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xdr:colOff>
      <xdr:row>29</xdr:row>
      <xdr:rowOff>19049</xdr:rowOff>
    </xdr:from>
    <xdr:to>
      <xdr:col>10</xdr:col>
      <xdr:colOff>2738439</xdr:colOff>
      <xdr:row>31</xdr:row>
      <xdr:rowOff>1779269</xdr:rowOff>
    </xdr:to>
    <xdr:graphicFrame macro="">
      <xdr:nvGraphicFramePr>
        <xdr:cNvPr id="2" name="Kaavio 1">
          <a:extLst>
            <a:ext uri="{FF2B5EF4-FFF2-40B4-BE49-F238E27FC236}">
              <a16:creationId xmlns:a16="http://schemas.microsoft.com/office/drawing/2014/main" id="{3CA2D2B3-4EF9-4DA8-BE41-EB01B9C42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57150</xdr:rowOff>
    </xdr:from>
    <xdr:to>
      <xdr:col>5</xdr:col>
      <xdr:colOff>741568</xdr:colOff>
      <xdr:row>31</xdr:row>
      <xdr:rowOff>1765300</xdr:rowOff>
    </xdr:to>
    <xdr:graphicFrame macro="">
      <xdr:nvGraphicFramePr>
        <xdr:cNvPr id="3" name="Kaavio 2">
          <a:extLst>
            <a:ext uri="{FF2B5EF4-FFF2-40B4-BE49-F238E27FC236}">
              <a16:creationId xmlns:a16="http://schemas.microsoft.com/office/drawing/2014/main" id="{E7DCF9DB-7215-46CA-B5B4-8B6F1FDFA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33</xdr:row>
      <xdr:rowOff>15239</xdr:rowOff>
    </xdr:from>
    <xdr:to>
      <xdr:col>6</xdr:col>
      <xdr:colOff>0</xdr:colOff>
      <xdr:row>34</xdr:row>
      <xdr:rowOff>1781174</xdr:rowOff>
    </xdr:to>
    <xdr:graphicFrame macro="">
      <xdr:nvGraphicFramePr>
        <xdr:cNvPr id="3" name="Kaavi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10458</xdr:rowOff>
    </xdr:from>
    <xdr:to>
      <xdr:col>5</xdr:col>
      <xdr:colOff>755650</xdr:colOff>
      <xdr:row>34</xdr:row>
      <xdr:rowOff>2393950</xdr:rowOff>
    </xdr:to>
    <xdr:graphicFrame macro="">
      <xdr:nvGraphicFramePr>
        <xdr:cNvPr id="4" name="Kaavi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17</xdr:row>
      <xdr:rowOff>109537</xdr:rowOff>
    </xdr:from>
    <xdr:to>
      <xdr:col>9</xdr:col>
      <xdr:colOff>161925</xdr:colOff>
      <xdr:row>38</xdr:row>
      <xdr:rowOff>47625</xdr:rowOff>
    </xdr:to>
    <xdr:graphicFrame macro="">
      <xdr:nvGraphicFramePr>
        <xdr:cNvPr id="2" name="Kaavio 1">
          <a:extLst>
            <a:ext uri="{FF2B5EF4-FFF2-40B4-BE49-F238E27FC236}">
              <a16:creationId xmlns:a16="http://schemas.microsoft.com/office/drawing/2014/main" id="{BC333362-43C0-48FA-B9FD-F477C8D399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209550</xdr:colOff>
      <xdr:row>17</xdr:row>
      <xdr:rowOff>95250</xdr:rowOff>
    </xdr:from>
    <xdr:to>
      <xdr:col>18</xdr:col>
      <xdr:colOff>590550</xdr:colOff>
      <xdr:row>38</xdr:row>
      <xdr:rowOff>33338</xdr:rowOff>
    </xdr:to>
    <xdr:graphicFrame macro="">
      <xdr:nvGraphicFramePr>
        <xdr:cNvPr id="3" name="Kaavio 2">
          <a:extLst>
            <a:ext uri="{FF2B5EF4-FFF2-40B4-BE49-F238E27FC236}">
              <a16:creationId xmlns:a16="http://schemas.microsoft.com/office/drawing/2014/main" id="{BEC7C679-5E38-44FB-9307-9D562EE88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476250</xdr:colOff>
      <xdr:row>2</xdr:row>
      <xdr:rowOff>723900</xdr:rowOff>
    </xdr:from>
    <xdr:to>
      <xdr:col>27</xdr:col>
      <xdr:colOff>542925</xdr:colOff>
      <xdr:row>20</xdr:row>
      <xdr:rowOff>90488</xdr:rowOff>
    </xdr:to>
    <xdr:graphicFrame macro="">
      <xdr:nvGraphicFramePr>
        <xdr:cNvPr id="4" name="Kaavio 3">
          <a:extLst>
            <a:ext uri="{FF2B5EF4-FFF2-40B4-BE49-F238E27FC236}">
              <a16:creationId xmlns:a16="http://schemas.microsoft.com/office/drawing/2014/main" id="{6185E926-5AAD-4A4B-BF39-A0D134642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Projektit/P1904%20Kilon%20poliisiasema/3%20Ty&#246;kansio/46%20YM%20CO2/Kilon%20poliisitalo%20YM%20CO2_versio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nsi"/>
      <sheetName val="Tiedot"/>
      <sheetName val="YM"/>
      <sheetName val="EN"/>
      <sheetName val="A13"/>
      <sheetName val="A13vertailu"/>
      <sheetName val="A45"/>
      <sheetName val="B4"/>
      <sheetName val="B6"/>
      <sheetName val="Vertailutaso"/>
      <sheetName val="C"/>
      <sheetName val="D"/>
      <sheetName val="Laskenta A1-A3"/>
      <sheetName val="Laskenta TATE"/>
      <sheetName val="Data_vanha"/>
      <sheetName val="tuloskoonti"/>
      <sheetName val="Materiaalit"/>
      <sheetName val="Data"/>
      <sheetName val="co2data"/>
      <sheetName val="Data_otsiko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B51"/>
  <sheetViews>
    <sheetView view="pageBreakPreview" zoomScaleNormal="100" zoomScaleSheetLayoutView="100" workbookViewId="0">
      <selection activeCell="B42" sqref="B42"/>
    </sheetView>
  </sheetViews>
  <sheetFormatPr defaultColWidth="0" defaultRowHeight="21" zeroHeight="1"/>
  <cols>
    <col min="1" max="1" width="7" style="106" customWidth="1"/>
    <col min="2" max="2" width="77.85546875" style="100" customWidth="1"/>
    <col min="3" max="16384" width="8.7109375" hidden="1"/>
  </cols>
  <sheetData>
    <row r="1" spans="1:2">
      <c r="A1" s="20" t="s">
        <v>0</v>
      </c>
    </row>
    <row r="2" spans="1:2">
      <c r="A2" s="20"/>
      <c r="B2" s="200" t="s">
        <v>1</v>
      </c>
    </row>
    <row r="3" spans="1:2" ht="18.75">
      <c r="A3" s="101"/>
    </row>
    <row r="4" spans="1:2" ht="18.75">
      <c r="A4" s="101" t="s">
        <v>2</v>
      </c>
    </row>
    <row r="5" spans="1:2" ht="60.75">
      <c r="A5" s="101"/>
      <c r="B5" s="100" t="s">
        <v>3</v>
      </c>
    </row>
    <row r="6" spans="1:2" ht="45.75">
      <c r="A6" s="101"/>
      <c r="B6" s="100" t="s">
        <v>4</v>
      </c>
    </row>
    <row r="7" spans="1:2" ht="18.75">
      <c r="A7" s="101"/>
    </row>
    <row r="8" spans="1:2" ht="18.75">
      <c r="A8" s="101" t="s">
        <v>5</v>
      </c>
    </row>
    <row r="9" spans="1:2" s="99" customFormat="1" ht="37.15" customHeight="1">
      <c r="A9" s="102"/>
      <c r="B9" s="103" t="s">
        <v>6</v>
      </c>
    </row>
    <row r="10" spans="1:2" s="99" customFormat="1" ht="18.75">
      <c r="A10" s="102"/>
      <c r="B10" s="104" t="s">
        <v>7</v>
      </c>
    </row>
    <row r="11" spans="1:2" s="99" customFormat="1" ht="90">
      <c r="A11" s="102"/>
      <c r="B11" s="164" t="s">
        <v>8</v>
      </c>
    </row>
    <row r="12" spans="1:2" s="99" customFormat="1" ht="60">
      <c r="A12" s="102"/>
      <c r="B12" s="164" t="s">
        <v>9</v>
      </c>
    </row>
    <row r="13" spans="1:2" s="99" customFormat="1" ht="18.75">
      <c r="A13" s="102"/>
      <c r="B13" s="104" t="s">
        <v>10</v>
      </c>
    </row>
    <row r="14" spans="1:2" s="99" customFormat="1" ht="120">
      <c r="A14" s="102"/>
      <c r="B14" s="164" t="s">
        <v>11</v>
      </c>
    </row>
    <row r="15" spans="1:2" s="99" customFormat="1" ht="18.75">
      <c r="A15" s="102"/>
      <c r="B15" s="104" t="s">
        <v>12</v>
      </c>
    </row>
    <row r="16" spans="1:2" s="99" customFormat="1" ht="165">
      <c r="A16" s="102"/>
      <c r="B16" s="164" t="s">
        <v>13</v>
      </c>
    </row>
    <row r="17" spans="1:2" s="99" customFormat="1" ht="18.75">
      <c r="A17" s="102"/>
      <c r="B17" s="104" t="s">
        <v>14</v>
      </c>
    </row>
    <row r="18" spans="1:2" s="99" customFormat="1" ht="75">
      <c r="A18" s="102"/>
      <c r="B18" s="164" t="s">
        <v>15</v>
      </c>
    </row>
    <row r="19" spans="1:2" s="99" customFormat="1" ht="45">
      <c r="A19" s="102"/>
      <c r="B19" s="164" t="s">
        <v>16</v>
      </c>
    </row>
    <row r="20" spans="1:2" s="99" customFormat="1" ht="18.75">
      <c r="A20" s="102"/>
      <c r="B20" s="104" t="s">
        <v>17</v>
      </c>
    </row>
    <row r="21" spans="1:2" s="99" customFormat="1" ht="18.75">
      <c r="A21" s="102"/>
      <c r="B21" s="164" t="s">
        <v>18</v>
      </c>
    </row>
    <row r="22" spans="1:2">
      <c r="B22" s="105"/>
    </row>
    <row r="23" spans="1:2" ht="18.75">
      <c r="A23" s="101" t="s">
        <v>19</v>
      </c>
    </row>
    <row r="24" spans="1:2" ht="31.5">
      <c r="B24" s="100" t="s">
        <v>20</v>
      </c>
    </row>
    <row r="25" spans="1:2"/>
    <row r="26" spans="1:2"/>
    <row r="27" spans="1:2"/>
    <row r="28" spans="1:2"/>
    <row r="29" spans="1:2"/>
    <row r="30" spans="1:2" ht="234.4" customHeight="1"/>
    <row r="31" spans="1:2"/>
    <row r="32" spans="1:2"/>
    <row r="33" spans="1:2"/>
    <row r="34" spans="1:2"/>
    <row r="35" spans="1:2"/>
    <row r="36" spans="1:2" ht="18.75">
      <c r="A36" s="101" t="s">
        <v>21</v>
      </c>
    </row>
    <row r="37" spans="1:2" ht="30">
      <c r="A37" s="131">
        <v>43847</v>
      </c>
      <c r="B37" s="100" t="s">
        <v>22</v>
      </c>
    </row>
    <row r="39" spans="1:2" ht="139.5" hidden="1" customHeight="1">
      <c r="B39" s="107"/>
    </row>
    <row r="40" spans="1:2" ht="45">
      <c r="A40" s="131">
        <v>45546</v>
      </c>
      <c r="B40" s="100" t="s">
        <v>23</v>
      </c>
    </row>
    <row r="41" spans="1:2"/>
    <row r="42" spans="1:2"/>
    <row r="43" spans="1:2"/>
    <row r="44" spans="1:2"/>
    <row r="45" spans="1:2"/>
    <row r="46" spans="1:2"/>
    <row r="47" spans="1:2"/>
    <row r="48" spans="1:2"/>
    <row r="49"/>
    <row r="50"/>
    <row r="51"/>
  </sheetData>
  <sheetProtection algorithmName="SHA-512" hashValue="51kEwtp7dN77IeOSpf5qhAiCfUIw+Kgbo2YNq+TeCzyOPaTHmtvHtUTpr7zDZBEB9GMwKnUZW4voflhDekDpXA==" saltValue="bmj7d3sOdGMVJ3WwwrBckA==" spinCount="100000" sheet="1" objects="1" scenarios="1"/>
  <pageMargins left="0.7" right="0.7" top="0.75" bottom="0.75" header="0.3" footer="0.3"/>
  <pageSetup paperSize="9" orientation="portrait" horizontalDpi="4294967292" r:id="rId1"/>
  <rowBreaks count="1" manualBreakCount="1">
    <brk id="16" max="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D5D43-3400-4CA2-A921-5AA40E0F4CD8}">
  <dimension ref="A1:V77"/>
  <sheetViews>
    <sheetView showGridLines="0" showZeros="0" tabSelected="1" view="pageBreakPreview" topLeftCell="A5" zoomScaleNormal="100" zoomScaleSheetLayoutView="100" zoomScalePageLayoutView="115" workbookViewId="0">
      <selection activeCell="B5" sqref="B5"/>
    </sheetView>
  </sheetViews>
  <sheetFormatPr defaultColWidth="13.5703125" defaultRowHeight="15" outlineLevelRow="1"/>
  <cols>
    <col min="1" max="1" width="9.28515625" customWidth="1"/>
    <col min="2" max="2" width="34.5703125" customWidth="1"/>
    <col min="3" max="5" width="11.42578125" style="3" customWidth="1"/>
    <col min="6" max="6" width="11.140625" style="65" customWidth="1"/>
    <col min="7" max="7" width="0.85546875" style="65" customWidth="1"/>
    <col min="8" max="8" width="16.7109375" style="3" customWidth="1"/>
    <col min="9" max="9" width="16.7109375" style="3" hidden="1" customWidth="1"/>
    <col min="10" max="10" width="12" customWidth="1"/>
    <col min="11" max="11" width="43.140625" style="5" customWidth="1"/>
    <col min="12" max="12" width="12.42578125" style="3" customWidth="1"/>
    <col min="13" max="18" width="13.5703125" customWidth="1"/>
  </cols>
  <sheetData>
    <row r="1" spans="1:22" ht="21">
      <c r="A1" s="20" t="s">
        <v>24</v>
      </c>
      <c r="B1" s="9"/>
      <c r="C1" s="10"/>
      <c r="D1" s="10"/>
      <c r="E1" s="10"/>
      <c r="F1" s="62"/>
      <c r="G1" s="62"/>
      <c r="H1" s="59" t="s">
        <v>25</v>
      </c>
      <c r="I1" s="10"/>
      <c r="J1" s="9"/>
      <c r="K1" s="16"/>
      <c r="L1" s="168"/>
      <c r="M1" s="9"/>
      <c r="N1" s="9"/>
      <c r="O1" s="9"/>
      <c r="P1" s="9"/>
      <c r="Q1" s="9"/>
      <c r="R1" s="9"/>
      <c r="S1" s="9"/>
      <c r="T1" s="9"/>
      <c r="U1" s="9"/>
      <c r="V1" s="9"/>
    </row>
    <row r="2" spans="1:22" ht="13.15" customHeight="1">
      <c r="A2" s="20"/>
      <c r="B2" s="9"/>
      <c r="C2" s="10"/>
      <c r="D2" s="10"/>
      <c r="E2" s="10"/>
      <c r="F2" s="62"/>
      <c r="G2" s="62"/>
      <c r="H2" s="9"/>
      <c r="I2" s="9"/>
      <c r="J2" s="9"/>
      <c r="K2" s="16"/>
      <c r="L2" s="10"/>
      <c r="M2" s="9"/>
      <c r="N2" s="9"/>
      <c r="O2" s="9"/>
      <c r="P2" s="9"/>
      <c r="Q2" s="9"/>
      <c r="R2" s="9"/>
      <c r="S2" s="9"/>
      <c r="T2" s="9"/>
      <c r="U2" s="9"/>
      <c r="V2" s="9"/>
    </row>
    <row r="3" spans="1:22" s="1" customFormat="1">
      <c r="A3" s="13" t="s">
        <v>26</v>
      </c>
      <c r="B3" s="113" t="s">
        <v>26</v>
      </c>
      <c r="C3" s="114"/>
      <c r="D3" s="114"/>
      <c r="E3" s="21" t="s">
        <v>27</v>
      </c>
      <c r="F3" s="115"/>
      <c r="G3" s="115"/>
      <c r="H3" s="21"/>
      <c r="I3" s="21"/>
      <c r="J3" s="21"/>
      <c r="K3" s="21"/>
      <c r="L3" s="114"/>
      <c r="M3" s="14"/>
      <c r="N3" s="14"/>
      <c r="O3" s="14"/>
      <c r="P3" s="14"/>
      <c r="Q3" s="14"/>
      <c r="R3" s="14"/>
      <c r="S3" s="14"/>
      <c r="T3" s="14"/>
      <c r="U3" s="14"/>
      <c r="V3" s="14"/>
    </row>
    <row r="4" spans="1:22" s="1" customFormat="1">
      <c r="A4" s="13" t="s">
        <v>28</v>
      </c>
      <c r="B4" s="113"/>
      <c r="C4" s="114"/>
      <c r="D4" s="114"/>
      <c r="E4" s="117">
        <v>50</v>
      </c>
      <c r="F4" s="116" t="s">
        <v>29</v>
      </c>
      <c r="G4" s="115"/>
      <c r="H4" s="21"/>
      <c r="I4" s="21"/>
      <c r="J4" s="21"/>
      <c r="K4" s="21"/>
      <c r="L4" s="114"/>
      <c r="M4" s="14"/>
      <c r="N4" s="14"/>
      <c r="O4" s="14"/>
      <c r="P4" s="14"/>
      <c r="Q4" s="14"/>
      <c r="R4" s="14"/>
      <c r="S4" s="14"/>
      <c r="T4" s="14"/>
      <c r="U4" s="14"/>
      <c r="V4" s="14"/>
    </row>
    <row r="5" spans="1:22" s="61" customFormat="1" ht="30">
      <c r="A5" s="12" t="s">
        <v>30</v>
      </c>
      <c r="B5" s="110" t="s">
        <v>31</v>
      </c>
      <c r="C5" s="60"/>
      <c r="D5" s="60"/>
      <c r="E5" s="60"/>
      <c r="F5" s="63"/>
      <c r="H5" s="21"/>
      <c r="I5" s="167"/>
      <c r="J5" s="21"/>
      <c r="K5" s="21"/>
      <c r="L5" s="60"/>
      <c r="M5" s="15"/>
      <c r="N5" s="15"/>
      <c r="O5" s="15"/>
      <c r="P5" s="15"/>
      <c r="Q5" s="15"/>
      <c r="R5" s="15"/>
      <c r="S5" s="15"/>
      <c r="T5" s="15"/>
      <c r="U5" s="15"/>
      <c r="V5" s="15"/>
    </row>
    <row r="6" spans="1:22" s="1" customFormat="1">
      <c r="A6" s="13" t="s">
        <v>32</v>
      </c>
      <c r="B6" s="138">
        <v>1000</v>
      </c>
      <c r="C6" s="114"/>
      <c r="D6" s="114"/>
      <c r="E6" s="114"/>
      <c r="F6" s="115"/>
      <c r="G6" s="115"/>
      <c r="H6" s="114"/>
      <c r="I6" s="114"/>
      <c r="J6" s="14"/>
      <c r="K6" s="21"/>
      <c r="L6" s="114"/>
      <c r="M6" s="14"/>
      <c r="N6" s="14"/>
      <c r="O6" s="14"/>
      <c r="P6" s="14"/>
      <c r="Q6" s="14"/>
      <c r="R6" s="14"/>
      <c r="S6" s="14"/>
      <c r="T6" s="14"/>
      <c r="U6" s="14"/>
      <c r="V6" s="14"/>
    </row>
    <row r="7" spans="1:22" s="1" customFormat="1">
      <c r="A7" s="13" t="s">
        <v>33</v>
      </c>
      <c r="B7" s="138">
        <v>2022</v>
      </c>
      <c r="C7" s="21" t="s">
        <v>34</v>
      </c>
      <c r="D7" s="114"/>
      <c r="E7" s="114"/>
      <c r="F7" s="115"/>
      <c r="G7" s="115"/>
      <c r="H7" s="114"/>
      <c r="I7" s="114"/>
      <c r="J7" s="14"/>
      <c r="K7" s="21"/>
      <c r="L7" s="114"/>
      <c r="M7" s="14"/>
      <c r="N7" s="14"/>
      <c r="O7" s="14"/>
      <c r="P7" s="14"/>
      <c r="Q7" s="14"/>
      <c r="R7" s="14"/>
      <c r="S7" s="14"/>
      <c r="T7" s="14"/>
      <c r="U7" s="14"/>
      <c r="V7" s="14"/>
    </row>
    <row r="8" spans="1:22">
      <c r="A8" s="16"/>
      <c r="B8" s="16"/>
      <c r="C8" s="10"/>
      <c r="D8" s="10"/>
      <c r="E8" s="10"/>
      <c r="F8" s="62"/>
      <c r="G8" s="62"/>
      <c r="H8" s="59" t="s">
        <v>25</v>
      </c>
      <c r="I8" s="10"/>
      <c r="J8" s="9"/>
      <c r="K8" s="16"/>
      <c r="L8" s="114"/>
      <c r="M8" s="9"/>
      <c r="N8" s="9"/>
      <c r="O8" s="9"/>
      <c r="P8" s="9"/>
      <c r="Q8" s="9"/>
      <c r="R8" s="9"/>
      <c r="S8" s="9"/>
      <c r="T8" s="9"/>
      <c r="U8" s="9"/>
      <c r="V8" s="9"/>
    </row>
    <row r="9" spans="1:22" s="1" customFormat="1" ht="45">
      <c r="A9" s="88"/>
      <c r="B9" s="89"/>
      <c r="C9" s="90" t="s">
        <v>35</v>
      </c>
      <c r="D9" s="170" t="s">
        <v>36</v>
      </c>
      <c r="E9" s="225" t="s">
        <v>37</v>
      </c>
      <c r="F9" s="226"/>
      <c r="G9" s="62"/>
      <c r="H9" s="76" t="s">
        <v>38</v>
      </c>
      <c r="I9" s="79" t="s">
        <v>39</v>
      </c>
      <c r="J9" s="191"/>
      <c r="K9" s="109"/>
      <c r="L9" s="114"/>
      <c r="M9" s="14"/>
      <c r="N9" s="14"/>
      <c r="O9" s="14"/>
      <c r="P9" s="14"/>
      <c r="Q9" s="14"/>
      <c r="R9" s="14"/>
      <c r="S9" s="14"/>
      <c r="T9" s="14"/>
      <c r="U9" s="14"/>
      <c r="V9" s="14"/>
    </row>
    <row r="10" spans="1:22" ht="17.25">
      <c r="A10" s="91"/>
      <c r="B10" s="9"/>
      <c r="C10" s="10" t="s">
        <v>40</v>
      </c>
      <c r="D10" s="17" t="s">
        <v>40</v>
      </c>
      <c r="E10" s="17" t="s">
        <v>40</v>
      </c>
      <c r="F10" s="92" t="s">
        <v>41</v>
      </c>
      <c r="G10" s="62"/>
      <c r="H10" s="77" t="s">
        <v>40</v>
      </c>
      <c r="I10" s="77" t="s">
        <v>40</v>
      </c>
      <c r="J10" s="192"/>
      <c r="K10" s="16"/>
      <c r="L10" s="114"/>
      <c r="M10" s="9"/>
      <c r="N10" s="9"/>
      <c r="O10" s="9"/>
      <c r="P10" s="9"/>
      <c r="Q10" s="9"/>
      <c r="R10" s="9"/>
      <c r="S10" s="9"/>
      <c r="T10" s="9"/>
      <c r="U10" s="9"/>
      <c r="V10" s="9"/>
    </row>
    <row r="11" spans="1:22" s="71" customFormat="1" ht="31.5">
      <c r="A11" s="93" t="s">
        <v>42</v>
      </c>
      <c r="B11" s="66" t="s">
        <v>43</v>
      </c>
      <c r="C11" s="73">
        <f ca="1">IF(SUM(C12:C15)=0,D11,SUM(C12:C15))</f>
        <v>564</v>
      </c>
      <c r="D11" s="81">
        <f ca="1">SUM(D12:D15)</f>
        <v>564</v>
      </c>
      <c r="E11" s="73">
        <f ca="1">C11-D11</f>
        <v>0</v>
      </c>
      <c r="F11" s="94">
        <f t="shared" ref="F11" ca="1" si="0">IF(C11&gt;0,C11/D11-1,0)</f>
        <v>0</v>
      </c>
      <c r="G11" s="86"/>
      <c r="H11" s="78"/>
      <c r="I11" s="80"/>
      <c r="J11" s="80"/>
      <c r="K11" s="109" t="s">
        <v>44</v>
      </c>
      <c r="L11" s="114"/>
      <c r="M11" s="68" t="s">
        <v>45</v>
      </c>
      <c r="N11" s="69"/>
      <c r="O11" s="70"/>
      <c r="P11" s="70"/>
      <c r="Q11" s="70"/>
      <c r="R11" s="70"/>
      <c r="S11" s="70"/>
      <c r="T11" s="70"/>
      <c r="U11" s="70"/>
      <c r="V11" s="70"/>
    </row>
    <row r="12" spans="1:22" s="1" customFormat="1" outlineLevel="1">
      <c r="A12" s="95"/>
      <c r="B12" s="11" t="s">
        <v>46</v>
      </c>
      <c r="C12" s="8">
        <f ca="1">IF(H12=0,1*D12,H12)</f>
        <v>40</v>
      </c>
      <c r="D12" s="7">
        <f ca="1">Vertailutaso!B38</f>
        <v>40</v>
      </c>
      <c r="E12" s="8"/>
      <c r="F12" s="96"/>
      <c r="G12" s="84"/>
      <c r="H12" s="217"/>
      <c r="I12" s="112"/>
      <c r="J12" s="193"/>
      <c r="K12" s="227"/>
      <c r="L12" s="114"/>
      <c r="M12" s="14"/>
      <c r="N12" s="14"/>
      <c r="O12" s="14"/>
      <c r="P12" s="14"/>
      <c r="Q12" s="14"/>
      <c r="R12" s="14"/>
      <c r="S12" s="14"/>
      <c r="T12" s="14"/>
      <c r="U12" s="14"/>
      <c r="V12" s="14"/>
    </row>
    <row r="13" spans="1:22" s="1" customFormat="1" outlineLevel="1">
      <c r="A13" s="95"/>
      <c r="B13" s="11" t="s">
        <v>47</v>
      </c>
      <c r="C13" s="8">
        <f t="shared" ref="C13:C15" ca="1" si="1">IF(H13=0,1*D13,H13)</f>
        <v>360</v>
      </c>
      <c r="D13" s="7">
        <f ca="1">Vertailutaso!C38</f>
        <v>360</v>
      </c>
      <c r="E13" s="8"/>
      <c r="F13" s="96"/>
      <c r="G13" s="84"/>
      <c r="H13" s="218"/>
      <c r="I13" s="112"/>
      <c r="J13" s="193"/>
      <c r="K13" s="228"/>
      <c r="L13" s="114"/>
      <c r="M13" s="14"/>
      <c r="N13" s="14"/>
      <c r="O13" s="14"/>
      <c r="P13" s="14"/>
      <c r="Q13" s="14"/>
      <c r="R13" s="14"/>
      <c r="S13" s="14"/>
      <c r="T13" s="14"/>
      <c r="U13" s="14"/>
      <c r="V13" s="14"/>
    </row>
    <row r="14" spans="1:22" s="1" customFormat="1" outlineLevel="1">
      <c r="A14" s="95"/>
      <c r="B14" s="11" t="s">
        <v>48</v>
      </c>
      <c r="C14" s="8">
        <f t="shared" ca="1" si="1"/>
        <v>59</v>
      </c>
      <c r="D14" s="7">
        <f ca="1">Vertailutaso!$D$38</f>
        <v>59</v>
      </c>
      <c r="E14" s="8"/>
      <c r="F14" s="96"/>
      <c r="G14" s="84"/>
      <c r="H14" s="218"/>
      <c r="I14" s="112"/>
      <c r="J14" s="193"/>
      <c r="K14" s="228"/>
      <c r="L14" s="114"/>
      <c r="M14" s="14"/>
      <c r="N14" s="14"/>
      <c r="O14" s="14"/>
      <c r="P14" s="14"/>
      <c r="Q14" s="14"/>
      <c r="R14" s="14"/>
      <c r="S14" s="14"/>
      <c r="T14" s="14"/>
      <c r="U14" s="14"/>
      <c r="V14" s="14"/>
    </row>
    <row r="15" spans="1:22" s="1" customFormat="1" outlineLevel="1">
      <c r="A15" s="95"/>
      <c r="B15" s="11" t="s">
        <v>49</v>
      </c>
      <c r="C15" s="8">
        <f t="shared" ca="1" si="1"/>
        <v>105</v>
      </c>
      <c r="D15" s="137">
        <f ca="1">Vertailutaso!$E$38</f>
        <v>105</v>
      </c>
      <c r="E15" s="8"/>
      <c r="F15" s="96"/>
      <c r="G15" s="84"/>
      <c r="H15" s="219"/>
      <c r="I15" s="112"/>
      <c r="J15" s="194"/>
      <c r="K15" s="228"/>
      <c r="L15" s="114"/>
      <c r="M15" s="14"/>
      <c r="N15" s="14"/>
      <c r="O15" s="14"/>
      <c r="P15" s="14"/>
      <c r="Q15" s="14"/>
      <c r="R15" s="14"/>
      <c r="S15" s="14"/>
      <c r="T15" s="14"/>
      <c r="U15" s="14"/>
      <c r="V15" s="14"/>
    </row>
    <row r="16" spans="1:22" s="71" customFormat="1" ht="27" customHeight="1">
      <c r="A16" s="97" t="s">
        <v>50</v>
      </c>
      <c r="B16" s="70" t="s">
        <v>51</v>
      </c>
      <c r="C16" s="74">
        <f ca="1">IF(H16&gt;0,H16,D16)</f>
        <v>20.399999999999999</v>
      </c>
      <c r="D16" s="144">
        <f ca="1">Vertailutaso!$M$38</f>
        <v>20.399999999999999</v>
      </c>
      <c r="E16" s="74">
        <f ca="1">C16-D16</f>
        <v>0</v>
      </c>
      <c r="F16" s="87">
        <f t="shared" ref="F16:F23" ca="1" si="2">IF(C16&gt;0,C16/D16-1,0)</f>
        <v>0</v>
      </c>
      <c r="G16" s="86"/>
      <c r="H16" s="136"/>
      <c r="I16" s="67"/>
      <c r="J16" s="195"/>
      <c r="K16" s="222"/>
      <c r="L16" s="114"/>
      <c r="M16" s="68" t="s">
        <v>45</v>
      </c>
      <c r="N16" s="70"/>
      <c r="O16" s="70"/>
      <c r="P16" s="70"/>
      <c r="Q16" s="70"/>
      <c r="R16" s="70"/>
      <c r="S16" s="70"/>
      <c r="T16" s="70"/>
      <c r="U16" s="70"/>
      <c r="V16" s="70"/>
    </row>
    <row r="17" spans="1:22" s="71" customFormat="1" ht="27" customHeight="1">
      <c r="A17" s="132" t="s">
        <v>52</v>
      </c>
      <c r="B17" s="133" t="s">
        <v>53</v>
      </c>
      <c r="C17" s="134">
        <f ca="1">IF(H17&gt;0,H17,D17)</f>
        <v>59</v>
      </c>
      <c r="D17" s="145">
        <f ca="1">Vertailutaso!$L$38</f>
        <v>59</v>
      </c>
      <c r="E17" s="134"/>
      <c r="F17" s="135"/>
      <c r="G17" s="86"/>
      <c r="H17" s="111"/>
      <c r="I17" s="67"/>
      <c r="J17" s="195"/>
      <c r="K17" s="223"/>
      <c r="L17" s="114"/>
      <c r="M17" s="68"/>
      <c r="N17" s="70"/>
      <c r="O17" s="70"/>
      <c r="P17" s="70"/>
      <c r="Q17" s="70"/>
      <c r="R17" s="70"/>
      <c r="S17" s="70"/>
      <c r="T17" s="70"/>
      <c r="U17" s="70"/>
      <c r="V17" s="70"/>
    </row>
    <row r="18" spans="1:22" s="71" customFormat="1" ht="31.5">
      <c r="A18" s="93" t="s">
        <v>54</v>
      </c>
      <c r="B18" s="66" t="s">
        <v>55</v>
      </c>
      <c r="C18" s="73">
        <f ca="1">IF(SUM(C19:C22)=0,D18,SUM(C19:C22))</f>
        <v>87.5</v>
      </c>
      <c r="D18" s="81">
        <f ca="1">SUM(D19:D22)</f>
        <v>87.5</v>
      </c>
      <c r="E18" s="73">
        <f ca="1">C18-D18</f>
        <v>0</v>
      </c>
      <c r="F18" s="94">
        <f t="shared" ca="1" si="2"/>
        <v>0</v>
      </c>
      <c r="G18" s="83"/>
      <c r="H18" s="79" t="s">
        <v>56</v>
      </c>
      <c r="I18" s="72" t="s">
        <v>57</v>
      </c>
      <c r="J18" s="191"/>
      <c r="K18" s="109" t="s">
        <v>44</v>
      </c>
      <c r="L18" s="114"/>
      <c r="M18" s="68" t="s">
        <v>45</v>
      </c>
      <c r="N18" s="70"/>
      <c r="O18" s="70"/>
      <c r="P18" s="69"/>
      <c r="Q18" s="70"/>
      <c r="R18" s="70"/>
      <c r="S18" s="70"/>
      <c r="T18" s="70"/>
      <c r="U18" s="70"/>
      <c r="V18" s="70"/>
    </row>
    <row r="19" spans="1:22" s="1" customFormat="1" outlineLevel="1">
      <c r="A19" s="95"/>
      <c r="B19" s="11" t="s">
        <v>46</v>
      </c>
      <c r="C19" s="8">
        <f ca="1">IF(H19=0,1*D19,H19)</f>
        <v>8</v>
      </c>
      <c r="D19" s="7">
        <f ca="1">D12*0.2</f>
        <v>8</v>
      </c>
      <c r="E19" s="8"/>
      <c r="F19" s="96"/>
      <c r="G19" s="84"/>
      <c r="H19" s="217"/>
      <c r="I19" s="112"/>
      <c r="J19" s="193"/>
      <c r="K19" s="229"/>
      <c r="L19" s="114"/>
      <c r="M19" s="14"/>
      <c r="N19" s="14"/>
      <c r="O19" s="14"/>
      <c r="P19" s="14"/>
      <c r="Q19" s="14"/>
      <c r="R19" s="14"/>
      <c r="S19" s="14"/>
      <c r="T19" s="14"/>
      <c r="U19" s="14"/>
      <c r="V19" s="14"/>
    </row>
    <row r="20" spans="1:22" s="1" customFormat="1" outlineLevel="1">
      <c r="A20" s="95"/>
      <c r="B20" s="11" t="s">
        <v>47</v>
      </c>
      <c r="C20" s="8">
        <f t="shared" ref="C20:C21" ca="1" si="3">IF(H20=0,1*D20,H20)</f>
        <v>18</v>
      </c>
      <c r="D20" s="7">
        <f ca="1">D13*0.05</f>
        <v>18</v>
      </c>
      <c r="E20" s="8"/>
      <c r="F20" s="96"/>
      <c r="G20" s="84"/>
      <c r="H20" s="218"/>
      <c r="I20" s="112"/>
      <c r="J20" s="193"/>
      <c r="K20" s="229"/>
      <c r="L20" s="114"/>
      <c r="M20" s="14"/>
      <c r="N20" s="14"/>
      <c r="O20" s="14"/>
      <c r="P20" s="14"/>
      <c r="Q20" s="14"/>
      <c r="R20" s="14"/>
      <c r="S20" s="14"/>
      <c r="T20" s="14"/>
      <c r="U20" s="14"/>
      <c r="V20" s="14"/>
    </row>
    <row r="21" spans="1:22" s="1" customFormat="1" outlineLevel="1">
      <c r="A21" s="95"/>
      <c r="B21" s="11" t="s">
        <v>48</v>
      </c>
      <c r="C21" s="8">
        <f t="shared" ca="1" si="3"/>
        <v>29.5</v>
      </c>
      <c r="D21" s="7">
        <f ca="1">D14*0.5</f>
        <v>29.5</v>
      </c>
      <c r="E21" s="8"/>
      <c r="F21" s="96"/>
      <c r="G21" s="84"/>
      <c r="H21" s="219"/>
      <c r="I21" s="112"/>
      <c r="J21" s="193"/>
      <c r="K21" s="229"/>
      <c r="L21" s="114"/>
      <c r="M21" s="14"/>
      <c r="N21" s="14"/>
      <c r="O21" s="14"/>
      <c r="P21" s="14"/>
      <c r="Q21" s="14"/>
      <c r="R21" s="14"/>
      <c r="S21" s="14"/>
      <c r="T21" s="14"/>
      <c r="U21" s="14"/>
      <c r="V21" s="14"/>
    </row>
    <row r="22" spans="1:22" s="1" customFormat="1" outlineLevel="1">
      <c r="A22" s="95"/>
      <c r="B22" s="11" t="s">
        <v>49</v>
      </c>
      <c r="C22" s="8">
        <f ca="1">D22</f>
        <v>32</v>
      </c>
      <c r="D22" s="7">
        <f ca="1">Vertailutaso!$H$38</f>
        <v>32</v>
      </c>
      <c r="E22" s="8"/>
      <c r="F22" s="96"/>
      <c r="G22" s="84"/>
      <c r="H22" s="208"/>
      <c r="I22" s="112"/>
      <c r="J22" s="194"/>
      <c r="K22" s="1" t="s">
        <v>58</v>
      </c>
      <c r="L22" s="114"/>
      <c r="M22" s="14"/>
      <c r="N22" s="14"/>
      <c r="O22" s="14"/>
      <c r="P22" s="14"/>
      <c r="Q22" s="14"/>
      <c r="R22" s="14"/>
      <c r="S22" s="14"/>
      <c r="T22" s="14"/>
      <c r="U22" s="14"/>
      <c r="V22" s="14"/>
    </row>
    <row r="23" spans="1:22" s="2" customFormat="1" ht="30">
      <c r="A23" s="97" t="s">
        <v>59</v>
      </c>
      <c r="B23" s="70" t="s">
        <v>60</v>
      </c>
      <c r="C23" s="152">
        <f ca="1">SUM(C24:C28)</f>
        <v>444.56980350400011</v>
      </c>
      <c r="D23" s="153">
        <f ca="1">SUM(D24:D28)</f>
        <v>444.56980350400011</v>
      </c>
      <c r="E23" s="152">
        <f ca="1">C23-D23</f>
        <v>0</v>
      </c>
      <c r="F23" s="87">
        <f t="shared" ca="1" si="2"/>
        <v>0</v>
      </c>
      <c r="G23" s="86"/>
      <c r="H23" s="75" t="s">
        <v>61</v>
      </c>
      <c r="I23" s="19" t="s">
        <v>62</v>
      </c>
      <c r="J23" s="196" t="s">
        <v>63</v>
      </c>
      <c r="K23" s="59"/>
      <c r="L23" s="60" t="s">
        <v>64</v>
      </c>
      <c r="M23" s="12" t="s">
        <v>45</v>
      </c>
      <c r="N23" s="13"/>
      <c r="O23" s="13"/>
      <c r="P23" s="14"/>
      <c r="Q23" s="13"/>
      <c r="R23" s="13"/>
      <c r="S23" s="13"/>
      <c r="T23" s="13"/>
      <c r="U23" s="13"/>
      <c r="V23" s="13"/>
    </row>
    <row r="24" spans="1:22" s="2" customFormat="1" ht="13.9" customHeight="1" outlineLevel="1">
      <c r="A24" s="95"/>
      <c r="B24" s="11" t="s">
        <v>65</v>
      </c>
      <c r="C24" s="8">
        <f ca="1">IF(H24=0,D24,(H24*J24/1000*$E$4)/$B$6)</f>
        <v>308.74395926400013</v>
      </c>
      <c r="D24" s="7">
        <f ca="1">(L24*J24*$E$4)/1000</f>
        <v>308.74395926400013</v>
      </c>
      <c r="E24" s="8"/>
      <c r="F24" s="98"/>
      <c r="G24" s="85"/>
      <c r="H24" s="220"/>
      <c r="I24" s="82">
        <f>H24/$B$6</f>
        <v>0</v>
      </c>
      <c r="J24" s="197">
        <f>'Energian yksikköpäästöt'!F6</f>
        <v>68.874000000000009</v>
      </c>
      <c r="K24" s="229" t="s">
        <v>66</v>
      </c>
      <c r="L24" s="169">
        <f ca="1">Vertailutaso!N$11</f>
        <v>89.654720000000026</v>
      </c>
      <c r="M24" s="12" t="s">
        <v>45</v>
      </c>
      <c r="N24" s="13"/>
      <c r="O24" s="13"/>
      <c r="P24" s="13"/>
      <c r="Q24" s="13"/>
      <c r="R24" s="13"/>
      <c r="S24" s="13"/>
      <c r="T24" s="13"/>
      <c r="U24" s="13"/>
      <c r="V24" s="13"/>
    </row>
    <row r="25" spans="1:22" s="2" customFormat="1" ht="13.9" customHeight="1" outlineLevel="1">
      <c r="A25" s="95"/>
      <c r="B25" s="11" t="s">
        <v>67</v>
      </c>
      <c r="C25" s="8">
        <f t="shared" ref="C25:C27" si="4">((H25*J25/1000*$E$4)/$B$6)</f>
        <v>0</v>
      </c>
      <c r="D25" s="7">
        <f>(L25*J25/1000*$E$4)</f>
        <v>0</v>
      </c>
      <c r="E25" s="8"/>
      <c r="F25" s="98"/>
      <c r="G25" s="85"/>
      <c r="H25" s="218"/>
      <c r="I25" s="82">
        <f>H25/$B$6</f>
        <v>0</v>
      </c>
      <c r="J25" s="198">
        <v>27</v>
      </c>
      <c r="K25" s="229"/>
      <c r="L25" s="169"/>
      <c r="M25" s="12" t="s">
        <v>45</v>
      </c>
      <c r="N25" s="13"/>
      <c r="O25" s="13"/>
      <c r="P25" s="13"/>
      <c r="Q25" s="13"/>
      <c r="R25" s="13"/>
      <c r="S25" s="13"/>
      <c r="T25" s="13"/>
      <c r="U25" s="13"/>
      <c r="V25" s="13"/>
    </row>
    <row r="26" spans="1:22" s="1" customFormat="1" ht="13.9" customHeight="1" outlineLevel="1">
      <c r="A26" s="95"/>
      <c r="B26" s="11" t="s">
        <v>68</v>
      </c>
      <c r="C26" s="8">
        <f ca="1">IF(H26=0,D26,((H26)*J26/1000*$E$4)/$B$6)</f>
        <v>135.82584423999998</v>
      </c>
      <c r="D26" s="7">
        <f ca="1">(L26*J26/1000*$E$4)</f>
        <v>135.82584423999998</v>
      </c>
      <c r="E26" s="8"/>
      <c r="F26" s="98"/>
      <c r="G26" s="85"/>
      <c r="H26" s="221"/>
      <c r="I26" s="82">
        <f>H26/$B$6</f>
        <v>0</v>
      </c>
      <c r="J26" s="197">
        <f>'Energian yksikköpäästöt'!E6</f>
        <v>59.084000000000003</v>
      </c>
      <c r="K26" s="229"/>
      <c r="L26" s="169">
        <f ca="1">Vertailutaso!F$11+Vertailutaso!G11+Vertailutaso!H11</f>
        <v>45.977199999999996</v>
      </c>
      <c r="M26" s="12" t="s">
        <v>45</v>
      </c>
      <c r="N26" s="14"/>
      <c r="O26" s="14"/>
      <c r="P26" s="13"/>
      <c r="Q26" s="14"/>
      <c r="R26" s="14"/>
      <c r="S26" s="14"/>
      <c r="T26" s="14"/>
      <c r="U26" s="14"/>
      <c r="V26" s="14"/>
    </row>
    <row r="27" spans="1:22" s="1" customFormat="1" ht="13.9" customHeight="1" outlineLevel="1">
      <c r="A27" s="95"/>
      <c r="B27" s="11" t="s">
        <v>69</v>
      </c>
      <c r="C27" s="8">
        <f t="shared" si="4"/>
        <v>0</v>
      </c>
      <c r="D27" s="7">
        <f>(L27*J27/1000*$E$4)</f>
        <v>0</v>
      </c>
      <c r="E27" s="8"/>
      <c r="F27" s="98"/>
      <c r="G27" s="85"/>
      <c r="H27" s="218"/>
      <c r="I27" s="82"/>
      <c r="J27" s="198">
        <v>306</v>
      </c>
      <c r="K27" s="229"/>
      <c r="L27" s="7"/>
      <c r="M27" s="12" t="s">
        <v>45</v>
      </c>
      <c r="N27" s="14"/>
      <c r="O27" s="14"/>
      <c r="P27" s="13"/>
      <c r="Q27" s="14"/>
      <c r="R27" s="14"/>
      <c r="S27" s="14"/>
      <c r="T27" s="14"/>
      <c r="U27" s="14"/>
      <c r="V27" s="14"/>
    </row>
    <row r="28" spans="1:22" s="1" customFormat="1" ht="13.9" customHeight="1" outlineLevel="1">
      <c r="A28" s="95"/>
      <c r="B28" s="11" t="s">
        <v>70</v>
      </c>
      <c r="C28" s="8">
        <f>((H28*J28/1000*$E$4)/$B$6)</f>
        <v>0</v>
      </c>
      <c r="D28" s="7">
        <f>(L28*J28/1000*$E$4)</f>
        <v>0</v>
      </c>
      <c r="E28" s="8"/>
      <c r="F28" s="96"/>
      <c r="G28" s="84"/>
      <c r="H28" s="219">
        <v>0</v>
      </c>
      <c r="I28" s="82">
        <f>H28/$B$6</f>
        <v>0</v>
      </c>
      <c r="J28" s="197">
        <f>'Energian yksikköpäästöt'!G6</f>
        <v>17.277999999999999</v>
      </c>
      <c r="K28" s="229"/>
      <c r="L28" s="7"/>
      <c r="M28" s="14"/>
      <c r="N28" s="14"/>
      <c r="O28" s="14"/>
      <c r="P28" s="14"/>
      <c r="Q28" s="14"/>
      <c r="R28" s="14"/>
      <c r="S28" s="14"/>
      <c r="T28" s="14"/>
      <c r="U28" s="14"/>
      <c r="V28" s="14"/>
    </row>
    <row r="29" spans="1:22" s="2" customFormat="1" ht="30">
      <c r="A29" s="93" t="s">
        <v>71</v>
      </c>
      <c r="B29" s="66" t="s">
        <v>72</v>
      </c>
      <c r="C29" s="73">
        <f>D29</f>
        <v>10</v>
      </c>
      <c r="D29" s="81">
        <v>10</v>
      </c>
      <c r="E29" s="73">
        <f>C29-D29</f>
        <v>0</v>
      </c>
      <c r="F29" s="94">
        <f t="shared" ref="F29:F30" si="5">IF(C29&gt;0,C29/D29-1,0)</f>
        <v>0</v>
      </c>
      <c r="G29" s="64"/>
      <c r="H29" s="165">
        <f>H24*0.5+H25*0.5+H26*1.2+H27+H28*0.28</f>
        <v>0</v>
      </c>
      <c r="I29" s="165"/>
      <c r="J29" s="166" t="s">
        <v>73</v>
      </c>
      <c r="K29" s="108" t="s">
        <v>73</v>
      </c>
      <c r="L29" s="165">
        <f ca="1">L24*0.5+L25*0.5+L26*1.2+L27+L28*0.28</f>
        <v>100</v>
      </c>
      <c r="M29" s="12" t="s">
        <v>45</v>
      </c>
      <c r="N29" s="13"/>
      <c r="O29" s="13"/>
      <c r="P29" s="13"/>
      <c r="Q29" s="13"/>
      <c r="R29" s="13"/>
      <c r="S29" s="13"/>
      <c r="T29" s="13"/>
      <c r="U29" s="13"/>
      <c r="V29" s="13"/>
    </row>
    <row r="30" spans="1:22" s="2" customFormat="1" ht="18" customHeight="1">
      <c r="A30" s="209"/>
      <c r="B30" s="210" t="s">
        <v>74</v>
      </c>
      <c r="C30" s="211">
        <f ca="1">C11+C16+C17+C18+C23+C29</f>
        <v>1185.4698035040001</v>
      </c>
      <c r="D30" s="211">
        <f ca="1">D11+D16+D17+D18+D23+D29</f>
        <v>1185.4698035040001</v>
      </c>
      <c r="E30" s="211">
        <f ca="1">C30-D30</f>
        <v>0</v>
      </c>
      <c r="F30" s="212">
        <f t="shared" ca="1" si="5"/>
        <v>0</v>
      </c>
      <c r="G30" s="64"/>
      <c r="H30" s="114"/>
      <c r="I30" s="114"/>
      <c r="J30" s="14"/>
      <c r="K30" s="21"/>
      <c r="L30" s="4"/>
      <c r="M30" s="13"/>
      <c r="N30" s="13"/>
      <c r="O30" s="13"/>
      <c r="P30" s="13"/>
      <c r="Q30" s="13"/>
      <c r="R30" s="13"/>
      <c r="S30" s="13"/>
      <c r="T30" s="13"/>
      <c r="U30" s="13"/>
      <c r="V30" s="13"/>
    </row>
    <row r="31" spans="1:22" s="2" customFormat="1" ht="18" customHeight="1">
      <c r="A31" s="215"/>
      <c r="B31" s="213"/>
      <c r="C31" s="214">
        <f ca="1">C30/50</f>
        <v>23.70939607008</v>
      </c>
      <c r="D31" s="214">
        <f ca="1">D30/50</f>
        <v>23.70939607008</v>
      </c>
      <c r="E31" s="182"/>
      <c r="F31" s="216"/>
      <c r="G31" s="64"/>
      <c r="H31" s="114"/>
      <c r="I31" s="114"/>
      <c r="J31" s="14"/>
      <c r="K31" s="21"/>
      <c r="L31" s="4"/>
      <c r="M31" s="13"/>
      <c r="N31" s="13"/>
      <c r="O31" s="13"/>
      <c r="P31" s="13"/>
      <c r="Q31" s="13"/>
      <c r="R31" s="13"/>
      <c r="S31" s="13"/>
      <c r="T31" s="13"/>
      <c r="U31" s="13"/>
      <c r="V31" s="13"/>
    </row>
    <row r="32" spans="1:22" s="1" customFormat="1" ht="142.9" customHeight="1">
      <c r="C32" s="4"/>
      <c r="D32" s="4"/>
      <c r="E32" s="4"/>
      <c r="F32" s="64"/>
      <c r="G32" s="64"/>
      <c r="H32" s="114"/>
      <c r="I32" s="114"/>
      <c r="J32" s="14"/>
      <c r="K32" s="21"/>
      <c r="L32" s="4"/>
      <c r="M32" s="14"/>
      <c r="N32" s="14"/>
      <c r="O32" s="14"/>
      <c r="P32" s="14"/>
      <c r="Q32" s="14"/>
      <c r="R32" s="14"/>
      <c r="S32" s="14"/>
      <c r="T32" s="14"/>
      <c r="U32" s="14"/>
      <c r="V32" s="14"/>
    </row>
    <row r="33" spans="1:22" s="1" customFormat="1" hidden="1">
      <c r="C33" s="4"/>
      <c r="D33" s="4"/>
      <c r="E33" s="4"/>
      <c r="F33" s="64"/>
      <c r="G33" s="64"/>
      <c r="H33" s="4"/>
      <c r="I33" s="4"/>
      <c r="K33" s="6"/>
      <c r="L33" s="4"/>
      <c r="M33" s="14"/>
      <c r="N33" s="14"/>
      <c r="O33" s="14"/>
      <c r="P33" s="14"/>
      <c r="Q33" s="14"/>
      <c r="R33" s="14"/>
      <c r="S33" s="14"/>
      <c r="T33" s="14"/>
      <c r="U33" s="14"/>
      <c r="V33" s="14"/>
    </row>
    <row r="34" spans="1:22" hidden="1">
      <c r="M34" s="9"/>
      <c r="N34" s="9"/>
      <c r="O34" s="9"/>
      <c r="P34" s="9"/>
      <c r="Q34" s="9"/>
      <c r="R34" s="9"/>
      <c r="S34" s="9"/>
      <c r="T34" s="9"/>
      <c r="U34" s="9"/>
      <c r="V34" s="9"/>
    </row>
    <row r="35" spans="1:22" hidden="1">
      <c r="M35" s="9"/>
      <c r="N35" s="9"/>
      <c r="O35" s="9"/>
      <c r="P35" s="9"/>
      <c r="Q35" s="9"/>
      <c r="R35" s="9"/>
      <c r="S35" s="9"/>
      <c r="T35" s="9"/>
      <c r="U35" s="9"/>
      <c r="V35" s="9"/>
    </row>
    <row r="36" spans="1:22" hidden="1">
      <c r="A36" t="str">
        <f>A11</f>
        <v>A1-A3</v>
      </c>
      <c r="B36" t="str">
        <f>B11</f>
        <v>Tuotevaihe</v>
      </c>
      <c r="C36" s="18">
        <f ca="1">C11</f>
        <v>564</v>
      </c>
      <c r="D36" s="18">
        <f ca="1">D11</f>
        <v>564</v>
      </c>
      <c r="E36" s="18"/>
      <c r="M36" s="9"/>
      <c r="N36" s="9"/>
      <c r="O36" s="9"/>
      <c r="P36" s="9"/>
      <c r="Q36" s="9"/>
      <c r="R36" s="9"/>
      <c r="S36" s="9"/>
      <c r="T36" s="9"/>
      <c r="U36" s="9"/>
      <c r="V36" s="9"/>
    </row>
    <row r="37" spans="1:22" hidden="1">
      <c r="A37" t="str">
        <f>A16</f>
        <v xml:space="preserve">A4 </v>
      </c>
      <c r="B37" t="str">
        <f>B16</f>
        <v>Työmaan kuljetukset</v>
      </c>
      <c r="C37" s="18">
        <f ca="1">C16</f>
        <v>20.399999999999999</v>
      </c>
      <c r="D37" s="18">
        <f ca="1">D16</f>
        <v>20.399999999999999</v>
      </c>
      <c r="E37" s="18"/>
      <c r="M37" s="9"/>
      <c r="N37" s="9"/>
      <c r="O37" s="9"/>
      <c r="P37" s="9"/>
      <c r="Q37" s="9"/>
      <c r="R37" s="9"/>
      <c r="S37" s="9"/>
      <c r="T37" s="9"/>
      <c r="U37" s="9"/>
      <c r="V37" s="9"/>
    </row>
    <row r="38" spans="1:22" ht="16.899999999999999" hidden="1" customHeight="1">
      <c r="A38" t="e">
        <f>#REF!</f>
        <v>#REF!</v>
      </c>
      <c r="B38" t="e">
        <f>#REF!</f>
        <v>#REF!</v>
      </c>
      <c r="C38" s="18" t="e">
        <f>#REF!</f>
        <v>#REF!</v>
      </c>
      <c r="D38" s="18" t="e">
        <f>#REF!</f>
        <v>#REF!</v>
      </c>
      <c r="E38" s="18"/>
      <c r="M38" s="9"/>
      <c r="N38" s="9"/>
      <c r="O38" s="9"/>
      <c r="P38" s="9"/>
      <c r="Q38" s="9"/>
      <c r="R38" s="9"/>
      <c r="S38" s="9"/>
      <c r="T38" s="9"/>
      <c r="U38" s="9"/>
      <c r="V38" s="9"/>
    </row>
    <row r="39" spans="1:22" hidden="1">
      <c r="A39" t="str">
        <f>A18</f>
        <v>B4</v>
      </c>
      <c r="B39" t="str">
        <f>B18</f>
        <v>Korjaukset ja uusimiset</v>
      </c>
      <c r="C39" s="18">
        <f ca="1">C18</f>
        <v>87.5</v>
      </c>
      <c r="D39" s="18">
        <f ca="1">D18</f>
        <v>87.5</v>
      </c>
      <c r="E39" s="18"/>
      <c r="M39" s="9"/>
      <c r="N39" s="9"/>
      <c r="O39" s="9"/>
      <c r="P39" s="9"/>
      <c r="Q39" s="9"/>
      <c r="R39" s="9"/>
      <c r="S39" s="9"/>
      <c r="T39" s="9"/>
      <c r="U39" s="9"/>
      <c r="V39" s="9"/>
    </row>
    <row r="40" spans="1:22" hidden="1">
      <c r="A40" t="s">
        <v>59</v>
      </c>
      <c r="B40" t="s">
        <v>75</v>
      </c>
      <c r="C40" s="18">
        <f ca="1">C23</f>
        <v>444.56980350400011</v>
      </c>
      <c r="D40" s="18">
        <f ca="1">D23</f>
        <v>444.56980350400011</v>
      </c>
      <c r="E40" s="18"/>
      <c r="M40" s="9"/>
      <c r="N40" s="9"/>
      <c r="O40" s="9"/>
      <c r="P40" s="9"/>
      <c r="Q40" s="9"/>
      <c r="R40" s="9"/>
      <c r="S40" s="9"/>
      <c r="T40" s="9"/>
      <c r="U40" s="9"/>
      <c r="V40" s="9"/>
    </row>
    <row r="41" spans="1:22" hidden="1">
      <c r="A41" t="str">
        <f>A29</f>
        <v>C1-C4</v>
      </c>
      <c r="B41" t="str">
        <f>B29</f>
        <v>Purku</v>
      </c>
      <c r="C41" s="18">
        <f t="shared" ref="C41:D41" si="6">C29</f>
        <v>10</v>
      </c>
      <c r="D41" s="18">
        <f t="shared" si="6"/>
        <v>10</v>
      </c>
      <c r="E41" s="18"/>
      <c r="M41" s="9"/>
      <c r="N41" s="9"/>
      <c r="O41" s="9"/>
      <c r="P41" s="9"/>
      <c r="Q41" s="9"/>
      <c r="R41" s="9"/>
      <c r="S41" s="9"/>
      <c r="T41" s="9"/>
      <c r="U41" s="9"/>
      <c r="V41" s="9"/>
    </row>
    <row r="42" spans="1:22" hidden="1">
      <c r="M42" s="9"/>
      <c r="N42" s="9"/>
      <c r="O42" s="9"/>
      <c r="P42" s="9"/>
      <c r="Q42" s="9"/>
      <c r="R42" s="9"/>
      <c r="S42" s="9"/>
      <c r="T42" s="9"/>
      <c r="U42" s="9"/>
      <c r="V42" s="9"/>
    </row>
    <row r="43" spans="1:22" hidden="1">
      <c r="M43" s="9"/>
      <c r="N43" s="9"/>
      <c r="O43" s="9"/>
      <c r="P43" s="9"/>
      <c r="Q43" s="9"/>
      <c r="R43" s="9"/>
      <c r="S43" s="9"/>
      <c r="T43" s="9"/>
      <c r="U43" s="9"/>
      <c r="V43" s="9"/>
    </row>
    <row r="44" spans="1:22" hidden="1">
      <c r="M44" s="9"/>
      <c r="N44" s="9"/>
      <c r="O44" s="9"/>
      <c r="P44" s="9"/>
      <c r="Q44" s="9"/>
      <c r="R44" s="9"/>
      <c r="S44" s="9"/>
      <c r="T44" s="9"/>
      <c r="U44" s="9"/>
      <c r="V44" s="9"/>
    </row>
    <row r="45" spans="1:22" hidden="1">
      <c r="M45" s="9"/>
      <c r="N45" s="9"/>
      <c r="O45" s="9"/>
      <c r="P45" s="9"/>
      <c r="Q45" s="9"/>
      <c r="R45" s="9"/>
      <c r="S45" s="9"/>
      <c r="T45" s="9"/>
      <c r="U45" s="9"/>
      <c r="V45" s="9"/>
    </row>
    <row r="46" spans="1:22" hidden="1">
      <c r="M46" s="9"/>
      <c r="N46" s="9"/>
      <c r="O46" s="9"/>
      <c r="P46" s="9"/>
      <c r="Q46" s="9"/>
      <c r="R46" s="9"/>
      <c r="S46" s="9"/>
      <c r="T46" s="9"/>
      <c r="U46" s="9"/>
      <c r="V46" s="9"/>
    </row>
    <row r="47" spans="1:22" hidden="1">
      <c r="M47" s="9"/>
      <c r="N47" s="9"/>
      <c r="O47" s="9"/>
      <c r="P47" s="9"/>
      <c r="Q47" s="9"/>
      <c r="R47" s="9"/>
      <c r="S47" s="9"/>
      <c r="T47" s="9"/>
      <c r="U47" s="9"/>
      <c r="V47" s="9"/>
    </row>
    <row r="48" spans="1:22" hidden="1">
      <c r="M48" s="9"/>
      <c r="N48" s="9"/>
      <c r="O48" s="9"/>
      <c r="P48" s="9"/>
      <c r="Q48" s="9"/>
      <c r="R48" s="9"/>
      <c r="S48" s="9"/>
      <c r="T48" s="9"/>
      <c r="U48" s="9"/>
      <c r="V48" s="9"/>
    </row>
    <row r="49" spans="1:22" hidden="1">
      <c r="M49" s="9"/>
      <c r="N49" s="9"/>
      <c r="O49" s="9"/>
      <c r="P49" s="9"/>
      <c r="Q49" s="9"/>
      <c r="R49" s="9"/>
      <c r="S49" s="9"/>
      <c r="T49" s="9"/>
      <c r="U49" s="9"/>
      <c r="V49" s="9"/>
    </row>
    <row r="50" spans="1:22" hidden="1">
      <c r="M50" s="9"/>
      <c r="N50" s="9"/>
      <c r="O50" s="9"/>
      <c r="P50" s="9"/>
      <c r="Q50" s="9"/>
      <c r="R50" s="9"/>
      <c r="S50" s="9"/>
      <c r="T50" s="9"/>
      <c r="U50" s="9"/>
      <c r="V50" s="9"/>
    </row>
    <row r="51" spans="1:22" hidden="1">
      <c r="M51" s="9"/>
      <c r="N51" s="9"/>
      <c r="O51" s="9"/>
      <c r="P51" s="9"/>
      <c r="Q51" s="9"/>
      <c r="R51" s="9"/>
      <c r="S51" s="9"/>
      <c r="T51" s="9"/>
      <c r="U51" s="9"/>
      <c r="V51" s="9"/>
    </row>
    <row r="52" spans="1:22" hidden="1">
      <c r="M52" s="9"/>
      <c r="N52" s="9"/>
      <c r="O52" s="9"/>
      <c r="P52" s="9"/>
      <c r="Q52" s="9"/>
      <c r="R52" s="9"/>
      <c r="S52" s="9"/>
      <c r="T52" s="9"/>
      <c r="U52" s="9"/>
      <c r="V52" s="9"/>
    </row>
    <row r="53" spans="1:22" hidden="1">
      <c r="M53" s="9"/>
      <c r="N53" s="9"/>
      <c r="O53" s="9"/>
      <c r="P53" s="9"/>
      <c r="Q53" s="9"/>
      <c r="R53" s="9"/>
      <c r="S53" s="9"/>
      <c r="T53" s="9"/>
      <c r="U53" s="9"/>
      <c r="V53" s="9"/>
    </row>
    <row r="54" spans="1:22" hidden="1">
      <c r="M54" s="9"/>
      <c r="N54" s="9"/>
      <c r="O54" s="9"/>
      <c r="P54" s="9"/>
      <c r="Q54" s="9"/>
      <c r="R54" s="9"/>
      <c r="S54" s="9"/>
      <c r="T54" s="9"/>
      <c r="U54" s="9"/>
      <c r="V54" s="9"/>
    </row>
    <row r="55" spans="1:22" hidden="1">
      <c r="A55" s="9"/>
      <c r="B55" s="9"/>
      <c r="C55" s="10"/>
      <c r="D55" s="10"/>
      <c r="E55" s="10"/>
      <c r="F55" s="62"/>
      <c r="G55" s="62"/>
      <c r="H55" s="10"/>
      <c r="I55" s="10"/>
      <c r="J55" s="9"/>
      <c r="K55" s="16"/>
      <c r="L55" s="10"/>
      <c r="M55" s="9"/>
      <c r="N55" s="9"/>
      <c r="O55" s="9"/>
      <c r="P55" s="9"/>
      <c r="Q55" s="9"/>
      <c r="R55" s="9"/>
      <c r="S55" s="9"/>
      <c r="T55" s="9"/>
      <c r="U55" s="9"/>
      <c r="V55" s="9"/>
    </row>
    <row r="56" spans="1:22" hidden="1">
      <c r="A56" s="9"/>
      <c r="B56" s="9"/>
      <c r="C56" s="10"/>
      <c r="D56" s="10"/>
      <c r="E56" s="10"/>
      <c r="F56" s="62"/>
      <c r="G56" s="62"/>
      <c r="H56" s="10"/>
      <c r="I56" s="10"/>
      <c r="J56" s="9"/>
      <c r="K56" s="16"/>
      <c r="L56" s="10"/>
      <c r="M56" s="9"/>
      <c r="N56" s="9"/>
      <c r="O56" s="9"/>
      <c r="P56" s="9"/>
      <c r="Q56" s="9"/>
      <c r="R56" s="9"/>
      <c r="S56" s="9"/>
      <c r="T56" s="9"/>
      <c r="U56" s="9"/>
      <c r="V56" s="9"/>
    </row>
    <row r="57" spans="1:22" hidden="1">
      <c r="A57" s="9"/>
      <c r="B57" s="9"/>
      <c r="C57" s="10"/>
      <c r="D57" s="10"/>
      <c r="E57" s="10"/>
      <c r="F57" s="62"/>
      <c r="G57" s="62"/>
      <c r="H57" s="10"/>
      <c r="I57" s="10"/>
      <c r="J57" s="9"/>
      <c r="K57" s="16"/>
      <c r="L57" s="10"/>
      <c r="M57" s="9"/>
      <c r="N57" s="9"/>
      <c r="O57" s="9"/>
      <c r="P57" s="9"/>
      <c r="Q57" s="9"/>
      <c r="R57" s="9"/>
      <c r="S57" s="9"/>
      <c r="T57" s="9"/>
      <c r="U57" s="9"/>
      <c r="V57" s="9"/>
    </row>
    <row r="58" spans="1:22" hidden="1">
      <c r="A58" s="9"/>
      <c r="B58" s="9"/>
      <c r="C58" s="10"/>
      <c r="D58" s="10"/>
      <c r="E58" s="10"/>
      <c r="F58" s="62"/>
      <c r="G58" s="62"/>
      <c r="H58" s="10"/>
      <c r="I58" s="10"/>
      <c r="J58" s="9"/>
      <c r="K58" s="16"/>
      <c r="L58" s="10"/>
      <c r="M58" s="9"/>
      <c r="N58" s="9"/>
      <c r="O58" s="9"/>
      <c r="P58" s="9"/>
      <c r="Q58" s="9"/>
      <c r="R58" s="9"/>
      <c r="S58" s="9"/>
      <c r="T58" s="9"/>
      <c r="U58" s="9"/>
      <c r="V58" s="9"/>
    </row>
    <row r="59" spans="1:22" hidden="1">
      <c r="A59" s="9"/>
      <c r="B59" s="9"/>
      <c r="C59" s="10" t="s">
        <v>76</v>
      </c>
      <c r="D59" s="10" t="s">
        <v>77</v>
      </c>
      <c r="E59" s="10"/>
      <c r="F59" s="62"/>
      <c r="G59" s="62"/>
      <c r="H59" s="10"/>
      <c r="I59" s="10"/>
      <c r="J59" s="9"/>
      <c r="K59" s="16"/>
      <c r="L59" s="10"/>
      <c r="M59" s="9"/>
      <c r="N59" s="9"/>
      <c r="O59" s="9"/>
      <c r="P59" s="9"/>
      <c r="Q59" s="9"/>
      <c r="R59" s="9"/>
      <c r="S59" s="9"/>
      <c r="T59" s="9"/>
      <c r="U59" s="9"/>
      <c r="V59" s="9"/>
    </row>
    <row r="60" spans="1:22" hidden="1">
      <c r="A60" s="10" t="str">
        <f>A11</f>
        <v>A1-A3</v>
      </c>
      <c r="B60" s="10" t="str">
        <f>B11</f>
        <v>Tuotevaihe</v>
      </c>
      <c r="C60" s="10">
        <f ca="1">C11</f>
        <v>564</v>
      </c>
      <c r="D60" s="10">
        <f ca="1">D11</f>
        <v>564</v>
      </c>
      <c r="E60" s="10"/>
      <c r="F60" s="62"/>
      <c r="G60" s="62"/>
      <c r="H60" s="10"/>
      <c r="I60" s="10"/>
      <c r="J60" s="9"/>
      <c r="K60" s="16"/>
      <c r="L60" s="10"/>
      <c r="M60" s="9"/>
      <c r="N60" s="9"/>
      <c r="O60" s="9"/>
      <c r="P60" s="9"/>
      <c r="Q60" s="9"/>
      <c r="R60" s="9"/>
      <c r="S60" s="9"/>
      <c r="T60" s="9"/>
      <c r="U60" s="9"/>
      <c r="V60" s="9"/>
    </row>
    <row r="61" spans="1:22" hidden="1">
      <c r="A61" s="10" t="str">
        <f>A16</f>
        <v xml:space="preserve">A4 </v>
      </c>
      <c r="B61" s="10" t="str">
        <f>B16</f>
        <v>Työmaan kuljetukset</v>
      </c>
      <c r="C61" s="10">
        <f ca="1">C16</f>
        <v>20.399999999999999</v>
      </c>
      <c r="D61" s="10">
        <f ca="1">D16</f>
        <v>20.399999999999999</v>
      </c>
      <c r="E61" s="10"/>
      <c r="F61" s="62"/>
      <c r="G61" s="62"/>
      <c r="H61" s="10"/>
      <c r="I61" s="10"/>
      <c r="J61" s="9"/>
      <c r="K61" s="16"/>
      <c r="L61" s="10"/>
      <c r="M61" s="9"/>
      <c r="N61" s="9"/>
      <c r="O61" s="9"/>
      <c r="P61" s="9"/>
      <c r="Q61" s="9"/>
      <c r="R61" s="9"/>
      <c r="S61" s="9"/>
      <c r="T61" s="9"/>
      <c r="U61" s="9"/>
      <c r="V61" s="9"/>
    </row>
    <row r="62" spans="1:22" hidden="1">
      <c r="A62" s="10" t="e">
        <f>#REF!</f>
        <v>#REF!</v>
      </c>
      <c r="B62" s="10" t="e">
        <f>#REF!</f>
        <v>#REF!</v>
      </c>
      <c r="C62" s="10" t="e">
        <f>#REF!</f>
        <v>#REF!</v>
      </c>
      <c r="D62" s="10" t="e">
        <f>#REF!</f>
        <v>#REF!</v>
      </c>
      <c r="E62" s="10"/>
      <c r="F62" s="62"/>
      <c r="G62" s="62"/>
      <c r="H62" s="10"/>
      <c r="I62" s="10"/>
      <c r="J62" s="9"/>
      <c r="K62" s="16"/>
      <c r="L62" s="10"/>
      <c r="M62" s="9"/>
      <c r="N62" s="9"/>
      <c r="O62" s="9"/>
      <c r="P62" s="9"/>
      <c r="Q62" s="9"/>
      <c r="R62" s="9"/>
      <c r="S62" s="9"/>
      <c r="T62" s="9"/>
      <c r="U62" s="9"/>
      <c r="V62" s="9"/>
    </row>
    <row r="63" spans="1:22" hidden="1">
      <c r="A63" s="10" t="str">
        <f t="shared" ref="A63:D63" si="7">A18</f>
        <v>B4</v>
      </c>
      <c r="B63" s="10" t="str">
        <f t="shared" si="7"/>
        <v>Korjaukset ja uusimiset</v>
      </c>
      <c r="C63" s="10">
        <f t="shared" ca="1" si="7"/>
        <v>87.5</v>
      </c>
      <c r="D63" s="10">
        <f t="shared" ca="1" si="7"/>
        <v>87.5</v>
      </c>
      <c r="E63" s="10"/>
      <c r="F63" s="62"/>
      <c r="G63" s="62"/>
      <c r="H63" s="10"/>
      <c r="I63" s="10"/>
      <c r="J63" s="9"/>
      <c r="K63" s="16"/>
      <c r="L63" s="10"/>
      <c r="M63" s="9"/>
      <c r="N63" s="9"/>
      <c r="O63" s="9"/>
      <c r="P63" s="9"/>
      <c r="Q63" s="9"/>
      <c r="R63" s="9"/>
      <c r="S63" s="9"/>
      <c r="T63" s="9"/>
      <c r="U63" s="9"/>
      <c r="V63" s="9"/>
    </row>
    <row r="64" spans="1:22" hidden="1">
      <c r="A64" s="22" t="s">
        <v>59</v>
      </c>
      <c r="B64" s="22" t="s">
        <v>75</v>
      </c>
      <c r="C64" s="22">
        <f ca="1">C23</f>
        <v>444.56980350400011</v>
      </c>
      <c r="D64" s="22">
        <f ca="1">D23</f>
        <v>444.56980350400011</v>
      </c>
      <c r="E64" s="22"/>
      <c r="F64" s="62"/>
      <c r="G64" s="62"/>
      <c r="H64" s="10"/>
      <c r="I64" s="10"/>
      <c r="J64" s="9"/>
      <c r="K64" s="16"/>
      <c r="L64" s="10"/>
      <c r="M64" s="9"/>
      <c r="N64" s="9"/>
      <c r="O64" s="9"/>
      <c r="P64" s="9"/>
      <c r="Q64" s="9"/>
      <c r="R64" s="9"/>
      <c r="S64" s="9"/>
      <c r="T64" s="9"/>
      <c r="U64" s="9"/>
      <c r="V64" s="9"/>
    </row>
    <row r="65" spans="1:22" hidden="1">
      <c r="A65" s="10" t="str">
        <f>A29</f>
        <v>C1-C4</v>
      </c>
      <c r="B65" s="10" t="str">
        <f>B29</f>
        <v>Purku</v>
      </c>
      <c r="C65" s="10">
        <f>C29</f>
        <v>10</v>
      </c>
      <c r="D65" s="10">
        <f>D29</f>
        <v>10</v>
      </c>
      <c r="E65" s="10"/>
      <c r="F65" s="62"/>
      <c r="G65" s="62"/>
      <c r="H65" s="10"/>
      <c r="I65" s="10"/>
      <c r="J65" s="9"/>
      <c r="K65" s="16"/>
      <c r="L65" s="10"/>
      <c r="M65" s="9"/>
      <c r="N65" s="9"/>
      <c r="O65" s="9"/>
      <c r="P65" s="9"/>
      <c r="Q65" s="9"/>
      <c r="R65" s="9"/>
      <c r="S65" s="9"/>
      <c r="T65" s="9"/>
      <c r="U65" s="9"/>
      <c r="V65" s="9"/>
    </row>
    <row r="66" spans="1:22" hidden="1">
      <c r="A66" s="9"/>
      <c r="B66" s="9"/>
      <c r="C66" s="10"/>
      <c r="D66" s="10"/>
      <c r="E66" s="10"/>
      <c r="F66" s="62"/>
      <c r="G66" s="62"/>
      <c r="H66" s="10"/>
      <c r="I66" s="10"/>
      <c r="J66" s="9"/>
      <c r="K66" s="16"/>
      <c r="L66" s="10"/>
      <c r="M66" s="9"/>
      <c r="N66" s="9"/>
      <c r="O66" s="9"/>
      <c r="P66" s="9"/>
      <c r="Q66" s="9"/>
      <c r="R66" s="9"/>
      <c r="S66" s="9"/>
      <c r="T66" s="9"/>
      <c r="U66" s="9"/>
      <c r="V66" s="9"/>
    </row>
    <row r="67" spans="1:22" hidden="1">
      <c r="A67" s="9"/>
      <c r="B67" s="9"/>
      <c r="C67" s="10"/>
      <c r="D67" s="10"/>
      <c r="E67" s="10"/>
      <c r="F67" s="62"/>
      <c r="G67" s="62"/>
      <c r="H67" s="10"/>
      <c r="I67" s="10"/>
      <c r="J67" s="9"/>
      <c r="K67" s="16"/>
      <c r="L67" s="10"/>
      <c r="M67" s="9"/>
      <c r="N67" s="9"/>
      <c r="O67" s="9"/>
      <c r="P67" s="9"/>
      <c r="Q67" s="9"/>
      <c r="R67" s="9"/>
      <c r="S67" s="9"/>
      <c r="T67" s="9"/>
      <c r="U67" s="9"/>
      <c r="V67" s="9"/>
    </row>
    <row r="68" spans="1:22" hidden="1">
      <c r="A68" s="9"/>
      <c r="B68" s="9"/>
      <c r="C68" s="10"/>
      <c r="D68" s="10"/>
      <c r="E68" s="10"/>
      <c r="F68" s="62"/>
      <c r="G68" s="62"/>
      <c r="H68" s="10"/>
      <c r="I68" s="10"/>
      <c r="J68" s="9"/>
      <c r="K68" s="16"/>
      <c r="L68" s="10"/>
      <c r="M68" s="9"/>
      <c r="N68" s="9"/>
      <c r="O68" s="9"/>
      <c r="P68" s="9"/>
      <c r="Q68" s="9"/>
      <c r="R68" s="9"/>
      <c r="S68" s="9"/>
      <c r="T68" s="9"/>
      <c r="U68" s="9"/>
      <c r="V68" s="9"/>
    </row>
    <row r="69" spans="1:22" hidden="1">
      <c r="A69" s="9"/>
      <c r="B69" s="9"/>
      <c r="C69" s="10"/>
      <c r="D69" s="10"/>
      <c r="E69" s="10"/>
      <c r="F69" s="62"/>
      <c r="G69" s="62"/>
      <c r="H69" s="10"/>
      <c r="I69" s="10"/>
      <c r="J69" s="9"/>
      <c r="K69" s="16"/>
      <c r="L69" s="10"/>
      <c r="M69" s="9"/>
      <c r="N69" s="9"/>
      <c r="O69" s="9"/>
      <c r="P69" s="9"/>
      <c r="Q69" s="9"/>
      <c r="R69" s="9"/>
      <c r="S69" s="9"/>
      <c r="T69" s="9"/>
      <c r="U69" s="9"/>
      <c r="V69" s="9"/>
    </row>
    <row r="70" spans="1:22" hidden="1">
      <c r="A70" s="9"/>
      <c r="B70" s="9"/>
      <c r="C70" s="10"/>
      <c r="D70" s="10"/>
      <c r="E70" s="10"/>
      <c r="F70" s="62"/>
      <c r="G70" s="62"/>
      <c r="H70" s="10"/>
      <c r="I70" s="10"/>
      <c r="J70" s="9"/>
      <c r="K70" s="16"/>
      <c r="L70" s="10"/>
      <c r="M70" s="9"/>
      <c r="N70" s="9"/>
      <c r="O70" s="9"/>
      <c r="P70" s="9"/>
      <c r="Q70" s="9"/>
      <c r="R70" s="9"/>
      <c r="S70" s="9"/>
      <c r="T70" s="9"/>
      <c r="U70" s="9"/>
      <c r="V70" s="9"/>
    </row>
    <row r="71" spans="1:22" hidden="1">
      <c r="A71" s="9"/>
      <c r="B71" s="9"/>
      <c r="C71" s="10"/>
      <c r="D71" s="10"/>
      <c r="E71" s="10"/>
      <c r="F71" s="62"/>
      <c r="G71" s="62"/>
      <c r="H71" s="10"/>
      <c r="I71" s="10"/>
      <c r="J71" s="9"/>
      <c r="K71" s="16"/>
      <c r="L71" s="10"/>
      <c r="M71" s="9"/>
      <c r="N71" s="9"/>
      <c r="O71" s="9"/>
      <c r="P71" s="9"/>
      <c r="Q71" s="9"/>
      <c r="R71" s="9"/>
      <c r="S71" s="9"/>
      <c r="T71" s="9"/>
      <c r="U71" s="9"/>
      <c r="V71" s="9"/>
    </row>
    <row r="72" spans="1:22" hidden="1">
      <c r="A72" s="9"/>
      <c r="B72" s="9"/>
      <c r="C72" s="10"/>
      <c r="D72" s="10"/>
      <c r="E72" s="10"/>
      <c r="F72" s="62"/>
      <c r="G72" s="62"/>
      <c r="H72" s="10"/>
      <c r="I72" s="10"/>
      <c r="J72" s="9"/>
      <c r="K72" s="16"/>
      <c r="L72" s="10"/>
      <c r="M72" s="9"/>
      <c r="N72" s="9"/>
      <c r="O72" s="9"/>
      <c r="P72" s="9"/>
      <c r="Q72" s="9"/>
      <c r="R72" s="9"/>
      <c r="S72" s="9"/>
      <c r="T72" s="9"/>
      <c r="U72" s="9"/>
      <c r="V72" s="9"/>
    </row>
    <row r="73" spans="1:22">
      <c r="A73" s="9"/>
      <c r="B73" s="9"/>
      <c r="C73" s="10"/>
      <c r="D73" s="10"/>
      <c r="E73" s="10"/>
      <c r="F73" s="62"/>
      <c r="G73" s="62"/>
      <c r="H73" s="10"/>
      <c r="I73" s="10"/>
      <c r="J73" s="9"/>
      <c r="K73" s="16"/>
      <c r="L73" s="10"/>
      <c r="M73" s="9"/>
      <c r="N73" s="9"/>
      <c r="O73" s="9"/>
      <c r="P73" s="9"/>
      <c r="Q73" s="9"/>
      <c r="R73" s="9"/>
      <c r="S73" s="9"/>
      <c r="T73" s="9"/>
      <c r="U73" s="9"/>
      <c r="V73" s="9"/>
    </row>
    <row r="74" spans="1:22">
      <c r="A74" s="9"/>
      <c r="B74" s="9"/>
      <c r="C74" s="10"/>
      <c r="D74" s="10"/>
      <c r="E74" s="10"/>
      <c r="F74" s="62"/>
      <c r="G74" s="62"/>
      <c r="H74" s="10"/>
      <c r="I74" s="10"/>
      <c r="J74" s="9"/>
      <c r="K74" s="16"/>
      <c r="L74" s="10"/>
      <c r="M74" s="9"/>
      <c r="N74" s="9"/>
      <c r="O74" s="9"/>
      <c r="P74" s="9"/>
      <c r="Q74" s="9"/>
      <c r="R74" s="9"/>
      <c r="S74" s="9"/>
      <c r="T74" s="9"/>
      <c r="U74" s="9"/>
      <c r="V74" s="9"/>
    </row>
    <row r="75" spans="1:22">
      <c r="A75" s="9"/>
      <c r="B75" s="9"/>
      <c r="C75" s="10"/>
      <c r="D75" s="10"/>
      <c r="E75" s="10"/>
      <c r="F75" s="62"/>
      <c r="G75" s="62"/>
      <c r="H75" s="10"/>
      <c r="I75" s="10"/>
      <c r="J75" s="9"/>
      <c r="K75" s="16"/>
      <c r="L75" s="10"/>
      <c r="M75" s="9"/>
      <c r="N75" s="9"/>
      <c r="O75" s="9"/>
      <c r="P75" s="9"/>
      <c r="Q75" s="9"/>
      <c r="R75" s="9"/>
      <c r="S75" s="9"/>
      <c r="T75" s="9"/>
      <c r="U75" s="9"/>
      <c r="V75" s="9"/>
    </row>
    <row r="76" spans="1:22">
      <c r="A76" s="9"/>
      <c r="B76" s="9"/>
      <c r="C76" s="10"/>
      <c r="D76" s="10"/>
      <c r="E76" s="10"/>
      <c r="F76" s="62"/>
      <c r="G76" s="62"/>
      <c r="H76" s="10"/>
      <c r="I76" s="10"/>
      <c r="J76" s="9"/>
      <c r="K76" s="16"/>
      <c r="L76" s="10"/>
      <c r="M76" s="9"/>
      <c r="N76" s="9"/>
      <c r="O76" s="9"/>
      <c r="P76" s="9"/>
      <c r="Q76" s="9"/>
      <c r="R76" s="9"/>
      <c r="S76" s="9"/>
      <c r="T76" s="9"/>
      <c r="U76" s="9"/>
      <c r="V76" s="9"/>
    </row>
    <row r="77" spans="1:22">
      <c r="A77" s="9"/>
      <c r="B77" s="9"/>
      <c r="C77" s="10"/>
      <c r="D77" s="10"/>
      <c r="E77" s="10"/>
      <c r="F77" s="62"/>
      <c r="G77" s="62"/>
      <c r="H77" s="10"/>
      <c r="I77" s="10"/>
      <c r="J77" s="9"/>
      <c r="K77" s="16"/>
      <c r="L77" s="10"/>
      <c r="M77" s="9"/>
      <c r="N77" s="9"/>
      <c r="O77" s="9"/>
      <c r="P77" s="9"/>
      <c r="Q77" s="9"/>
      <c r="R77" s="9"/>
      <c r="S77" s="9"/>
      <c r="T77" s="9"/>
      <c r="U77" s="9"/>
      <c r="V77" s="9"/>
    </row>
  </sheetData>
  <sheetProtection algorithmName="SHA-512" hashValue="93LtrFsncAZwsIjJLU9FhiMa/a49F8lmf/kWDQB62o9EpslMiay3tBJaLKjOuiYseMi8zbwaGYx8LzlG1Bdmqw==" saltValue="mAjQ7iEbenzBKPHF+09kSw==" spinCount="100000" sheet="1" objects="1" scenarios="1"/>
  <mergeCells count="4">
    <mergeCell ref="E9:F9"/>
    <mergeCell ref="K12:K15"/>
    <mergeCell ref="K24:K28"/>
    <mergeCell ref="K19:K21"/>
  </mergeCells>
  <pageMargins left="0.70866141732283472" right="0.70866141732283472" top="0.74803149606299213" bottom="0.74803149606299213" header="0.31496062992125984" footer="0.31496062992125984"/>
  <pageSetup paperSize="9" scale="97" fitToWidth="0" orientation="portrait" horizontalDpi="4294967292" r:id="rId1"/>
  <colBreaks count="1" manualBreakCount="1">
    <brk id="6" max="3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1F20A92-FDBA-40FF-A71B-AF7818FFDE60}">
          <x14:formula1>
            <xm:f>Vertailutaso!$A$3:$A$10</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2"/>
  <dimension ref="A1:P80"/>
  <sheetViews>
    <sheetView showGridLines="0" showZeros="0" view="pageBreakPreview" topLeftCell="A12" zoomScaleNormal="100" zoomScaleSheetLayoutView="100" zoomScalePageLayoutView="115" workbookViewId="0">
      <selection activeCell="C28" sqref="C28"/>
    </sheetView>
  </sheetViews>
  <sheetFormatPr defaultColWidth="13.5703125" defaultRowHeight="15" outlineLevelRow="1"/>
  <cols>
    <col min="1" max="1" width="33.42578125" customWidth="1"/>
    <col min="2" max="2" width="10.5703125" style="3" customWidth="1"/>
    <col min="3" max="3" width="12.28515625" style="3" customWidth="1"/>
    <col min="4" max="5" width="11" style="3" customWidth="1"/>
    <col min="6" max="6" width="9.7109375" style="65" customWidth="1"/>
    <col min="7" max="12" width="13.5703125" customWidth="1"/>
  </cols>
  <sheetData>
    <row r="1" spans="1:16" ht="21">
      <c r="A1" s="20" t="s">
        <v>78</v>
      </c>
      <c r="B1" s="10"/>
      <c r="C1" s="10"/>
      <c r="D1" s="10"/>
      <c r="E1" s="10"/>
      <c r="F1" s="62"/>
      <c r="G1" s="9"/>
      <c r="H1" s="9"/>
      <c r="I1" s="9"/>
      <c r="J1" s="9"/>
      <c r="K1" s="9"/>
      <c r="L1" s="9"/>
      <c r="M1" s="9"/>
      <c r="N1" s="9"/>
      <c r="O1" s="9"/>
      <c r="P1" s="9"/>
    </row>
    <row r="2" spans="1:16" ht="13.15" customHeight="1">
      <c r="A2" s="20"/>
      <c r="B2" s="10"/>
      <c r="C2" s="10"/>
      <c r="D2" s="10"/>
      <c r="E2" s="10"/>
      <c r="F2" s="62"/>
      <c r="G2" s="9"/>
      <c r="H2" s="9"/>
      <c r="I2" s="9"/>
      <c r="J2" s="9"/>
      <c r="K2" s="9"/>
      <c r="L2" s="9"/>
      <c r="M2" s="9"/>
      <c r="N2" s="9"/>
      <c r="O2" s="9"/>
      <c r="P2" s="9"/>
    </row>
    <row r="3" spans="1:16" s="1" customFormat="1">
      <c r="A3" s="13" t="s">
        <v>26</v>
      </c>
      <c r="B3" s="230" t="str">
        <f>'CO2 laskenta'!B3</f>
        <v>Kohde</v>
      </c>
      <c r="C3" s="230"/>
      <c r="D3" s="230"/>
      <c r="E3" s="114"/>
      <c r="F3" s="115"/>
      <c r="G3" s="14"/>
      <c r="H3" s="14"/>
      <c r="I3" s="14"/>
      <c r="J3" s="14"/>
      <c r="K3" s="14"/>
      <c r="L3" s="14"/>
      <c r="M3" s="14"/>
      <c r="N3" s="14"/>
      <c r="O3" s="14"/>
      <c r="P3" s="14"/>
    </row>
    <row r="4" spans="1:16" s="1" customFormat="1">
      <c r="A4" s="13" t="s">
        <v>28</v>
      </c>
      <c r="B4" s="230">
        <f>'CO2 laskenta'!B4</f>
        <v>0</v>
      </c>
      <c r="C4" s="230"/>
      <c r="D4" s="230"/>
      <c r="E4" s="114"/>
      <c r="F4" s="116"/>
      <c r="G4" s="14"/>
      <c r="H4" s="14"/>
      <c r="I4" s="14"/>
      <c r="J4" s="14"/>
      <c r="K4" s="14"/>
      <c r="L4" s="14"/>
      <c r="M4" s="14"/>
      <c r="N4" s="14"/>
      <c r="O4" s="14"/>
      <c r="P4" s="14"/>
    </row>
    <row r="5" spans="1:16" s="61" customFormat="1">
      <c r="A5" s="12" t="s">
        <v>79</v>
      </c>
      <c r="B5" s="231" t="str">
        <f>'CO2 laskenta'!B5</f>
        <v>Opetusrakennus ja päiväkoti</v>
      </c>
      <c r="C5" s="231"/>
      <c r="D5" s="231"/>
      <c r="E5" s="60"/>
      <c r="F5" s="63"/>
      <c r="G5" s="15"/>
      <c r="H5" s="15"/>
      <c r="I5" s="15"/>
      <c r="J5" s="15"/>
      <c r="K5" s="15"/>
      <c r="L5" s="15"/>
      <c r="M5" s="15"/>
      <c r="N5" s="15"/>
      <c r="O5" s="15"/>
      <c r="P5" s="15"/>
    </row>
    <row r="6" spans="1:16" s="1" customFormat="1">
      <c r="A6" s="13" t="s">
        <v>32</v>
      </c>
      <c r="B6" s="21">
        <f>'CO2 laskenta'!B6</f>
        <v>1000</v>
      </c>
      <c r="C6" s="114"/>
      <c r="D6" s="114"/>
      <c r="E6" s="114"/>
      <c r="F6" s="115"/>
      <c r="G6" s="14"/>
      <c r="H6" s="14"/>
      <c r="I6" s="14"/>
      <c r="J6" s="14"/>
      <c r="K6" s="14"/>
      <c r="L6" s="14"/>
      <c r="M6" s="14"/>
      <c r="N6" s="14"/>
      <c r="O6" s="14"/>
      <c r="P6" s="14"/>
    </row>
    <row r="7" spans="1:16">
      <c r="A7" s="16"/>
      <c r="B7" s="10"/>
      <c r="C7" s="10"/>
      <c r="D7" s="10"/>
      <c r="E7" s="10"/>
      <c r="F7" s="62"/>
      <c r="G7" s="9"/>
      <c r="H7" s="9"/>
      <c r="I7" s="9"/>
      <c r="J7" s="9"/>
      <c r="K7" s="9"/>
      <c r="L7" s="9"/>
      <c r="M7" s="9"/>
      <c r="N7" s="9"/>
      <c r="O7" s="9"/>
      <c r="P7" s="9"/>
    </row>
    <row r="8" spans="1:16" s="1" customFormat="1" ht="30">
      <c r="A8" s="188"/>
      <c r="B8" s="189" t="s">
        <v>80</v>
      </c>
      <c r="C8" s="189" t="s">
        <v>81</v>
      </c>
      <c r="D8" s="170" t="s">
        <v>35</v>
      </c>
      <c r="E8" s="174" t="s">
        <v>82</v>
      </c>
      <c r="F8" s="175" t="s">
        <v>37</v>
      </c>
      <c r="G8" s="14"/>
      <c r="H8" s="14"/>
      <c r="I8" s="14"/>
      <c r="J8" s="14"/>
      <c r="K8" s="14"/>
      <c r="L8" s="14"/>
      <c r="M8" s="14"/>
      <c r="N8" s="14"/>
      <c r="O8" s="14"/>
      <c r="P8" s="14"/>
    </row>
    <row r="9" spans="1:16" ht="17.25">
      <c r="A9" s="190"/>
      <c r="B9" s="17" t="s">
        <v>83</v>
      </c>
      <c r="C9" s="17" t="s">
        <v>84</v>
      </c>
      <c r="D9" s="17" t="s">
        <v>40</v>
      </c>
      <c r="E9" s="176" t="s">
        <v>40</v>
      </c>
      <c r="F9" s="92" t="s">
        <v>41</v>
      </c>
      <c r="G9" s="9"/>
      <c r="H9" s="9"/>
      <c r="I9" s="9"/>
      <c r="J9" s="9"/>
      <c r="K9" s="9"/>
      <c r="L9" s="9"/>
      <c r="M9" s="9"/>
      <c r="N9" s="9"/>
      <c r="O9" s="9"/>
      <c r="P9" s="9"/>
    </row>
    <row r="10" spans="1:16" s="71" customFormat="1" ht="31.5">
      <c r="A10" s="66" t="s">
        <v>46</v>
      </c>
      <c r="B10" s="173" t="s">
        <v>85</v>
      </c>
      <c r="C10" s="173" t="s">
        <v>86</v>
      </c>
      <c r="D10" s="81">
        <f ca="1">E10*D11</f>
        <v>0</v>
      </c>
      <c r="E10" s="137">
        <f ca="1">Vertailutaso!B38</f>
        <v>40</v>
      </c>
      <c r="F10" s="177">
        <f ca="1">IF(D10&lt;E10,D10/E10-1,0)</f>
        <v>-1</v>
      </c>
      <c r="G10" s="68" t="s">
        <v>45</v>
      </c>
      <c r="I10" s="70"/>
      <c r="J10" s="70"/>
      <c r="K10" s="70"/>
      <c r="L10" s="70"/>
      <c r="M10" s="70"/>
      <c r="N10" s="70"/>
      <c r="O10" s="70"/>
      <c r="P10" s="70"/>
    </row>
    <row r="11" spans="1:16" s="1" customFormat="1" outlineLevel="1">
      <c r="A11" s="11" t="s">
        <v>87</v>
      </c>
      <c r="B11" s="224"/>
      <c r="C11" s="171">
        <v>100</v>
      </c>
      <c r="D11" s="199">
        <f>B11/C11</f>
        <v>0</v>
      </c>
      <c r="E11" s="179"/>
      <c r="F11" s="180"/>
      <c r="G11" s="14"/>
      <c r="I11" s="14"/>
      <c r="J11" s="14"/>
      <c r="K11" s="14"/>
      <c r="L11" s="14"/>
      <c r="M11" s="14"/>
      <c r="N11" s="14"/>
      <c r="O11" s="14"/>
      <c r="P11" s="14"/>
    </row>
    <row r="12" spans="1:16" s="71" customFormat="1" ht="31.5">
      <c r="A12" s="66" t="s">
        <v>47</v>
      </c>
      <c r="B12" s="173" t="s">
        <v>85</v>
      </c>
      <c r="C12" s="173" t="s">
        <v>86</v>
      </c>
      <c r="D12" s="81">
        <f ca="1">SUMPRODUCT(D13:D17,C13:C17)/(SUM(C13:C17))*E12</f>
        <v>0</v>
      </c>
      <c r="E12" s="7">
        <f ca="1">Vertailutaso!C38</f>
        <v>360</v>
      </c>
      <c r="F12" s="177">
        <f ca="1">IF(D12&lt;E12,D12/E12-1,0)</f>
        <v>-1</v>
      </c>
      <c r="G12" s="68" t="s">
        <v>45</v>
      </c>
      <c r="K12" s="70"/>
      <c r="L12" s="70"/>
      <c r="M12" s="70"/>
      <c r="N12" s="70"/>
      <c r="O12" s="70"/>
      <c r="P12" s="70"/>
    </row>
    <row r="13" spans="1:16" s="1" customFormat="1" outlineLevel="1">
      <c r="A13" s="11" t="s">
        <v>88</v>
      </c>
      <c r="B13" s="224"/>
      <c r="C13" s="171">
        <v>100</v>
      </c>
      <c r="D13" s="199">
        <f t="shared" ref="D13:D17" si="0">B13/C13</f>
        <v>0</v>
      </c>
      <c r="E13" s="7"/>
      <c r="F13" s="180"/>
      <c r="G13" s="14"/>
      <c r="K13" s="14"/>
      <c r="L13" s="14"/>
      <c r="M13" s="14"/>
      <c r="N13" s="14"/>
      <c r="O13" s="14"/>
      <c r="P13" s="14"/>
    </row>
    <row r="14" spans="1:16" s="1" customFormat="1" outlineLevel="1">
      <c r="A14" s="11" t="s">
        <v>89</v>
      </c>
      <c r="B14" s="224"/>
      <c r="C14" s="171">
        <v>100</v>
      </c>
      <c r="D14" s="199">
        <f t="shared" si="0"/>
        <v>0</v>
      </c>
      <c r="E14" s="7"/>
      <c r="F14" s="180"/>
      <c r="G14" s="14"/>
      <c r="K14" s="14"/>
      <c r="L14" s="14"/>
      <c r="M14" s="14"/>
      <c r="N14" s="14"/>
      <c r="O14" s="14"/>
      <c r="P14" s="14"/>
    </row>
    <row r="15" spans="1:16" s="1" customFormat="1" outlineLevel="1">
      <c r="A15" s="11" t="s">
        <v>90</v>
      </c>
      <c r="B15" s="224"/>
      <c r="C15" s="171">
        <v>100</v>
      </c>
      <c r="D15" s="199">
        <f t="shared" si="0"/>
        <v>0</v>
      </c>
      <c r="E15" s="137"/>
      <c r="F15" s="180"/>
      <c r="G15" s="14"/>
      <c r="K15" s="14"/>
      <c r="L15" s="14"/>
      <c r="M15" s="14"/>
      <c r="N15" s="14"/>
      <c r="O15" s="14"/>
      <c r="P15" s="14"/>
    </row>
    <row r="16" spans="1:16" s="1" customFormat="1" outlineLevel="1">
      <c r="A16" s="11" t="s">
        <v>91</v>
      </c>
      <c r="B16" s="224"/>
      <c r="C16" s="171">
        <v>100</v>
      </c>
      <c r="D16" s="199">
        <f t="shared" si="0"/>
        <v>0</v>
      </c>
      <c r="E16" s="7"/>
      <c r="F16" s="180"/>
      <c r="G16" s="14"/>
      <c r="K16" s="14"/>
      <c r="L16" s="14"/>
      <c r="M16" s="14"/>
      <c r="N16" s="14"/>
      <c r="O16" s="14"/>
      <c r="P16" s="14"/>
    </row>
    <row r="17" spans="1:16" s="1" customFormat="1" outlineLevel="1">
      <c r="A17" s="11" t="s">
        <v>92</v>
      </c>
      <c r="B17" s="224"/>
      <c r="C17" s="171">
        <v>100</v>
      </c>
      <c r="D17" s="199">
        <f t="shared" si="0"/>
        <v>0</v>
      </c>
      <c r="E17" s="181"/>
      <c r="F17" s="180"/>
      <c r="G17" s="14"/>
      <c r="H17" s="14"/>
      <c r="I17" s="14"/>
      <c r="J17" s="14"/>
      <c r="K17" s="14"/>
      <c r="L17" s="14"/>
      <c r="M17" s="14"/>
      <c r="N17" s="14"/>
      <c r="O17" s="14"/>
      <c r="P17" s="14"/>
    </row>
    <row r="18" spans="1:16" s="71" customFormat="1" ht="31.5">
      <c r="A18" s="66" t="s">
        <v>48</v>
      </c>
      <c r="B18" s="173" t="s">
        <v>85</v>
      </c>
      <c r="C18" s="173" t="s">
        <v>86</v>
      </c>
      <c r="D18" s="81">
        <f ca="1">SUMPRODUCT(D19:D21,C19:C21)/(SUM(C19:C21))*E18</f>
        <v>0</v>
      </c>
      <c r="E18" s="7">
        <f ca="1">Vertailutaso!$D$38</f>
        <v>59</v>
      </c>
      <c r="F18" s="177">
        <f ca="1">IF(D18&lt;E18,D18/E18-1,0)</f>
        <v>-1</v>
      </c>
      <c r="G18" s="68" t="s">
        <v>45</v>
      </c>
      <c r="H18" s="69"/>
      <c r="I18" s="70"/>
      <c r="J18" s="70"/>
      <c r="K18" s="70"/>
      <c r="L18" s="70"/>
      <c r="M18" s="70"/>
      <c r="N18" s="70"/>
      <c r="O18" s="70"/>
      <c r="P18" s="70"/>
    </row>
    <row r="19" spans="1:16" s="1" customFormat="1" outlineLevel="1">
      <c r="A19" s="11" t="s">
        <v>93</v>
      </c>
      <c r="B19" s="224"/>
      <c r="C19" s="171">
        <v>100</v>
      </c>
      <c r="D19" s="199">
        <f>B19/C19</f>
        <v>0</v>
      </c>
      <c r="E19" s="7"/>
      <c r="F19" s="180"/>
      <c r="G19" s="14"/>
      <c r="H19" s="14"/>
      <c r="I19" s="14"/>
      <c r="J19" s="14"/>
      <c r="K19" s="14"/>
      <c r="L19" s="14"/>
      <c r="M19" s="14"/>
      <c r="N19" s="14"/>
      <c r="O19" s="14"/>
      <c r="P19" s="14"/>
    </row>
    <row r="20" spans="1:16" s="1" customFormat="1" outlineLevel="1">
      <c r="A20" s="11" t="s">
        <v>94</v>
      </c>
      <c r="B20" s="224"/>
      <c r="C20" s="171">
        <v>100</v>
      </c>
      <c r="D20" s="199">
        <f t="shared" ref="D20:D21" si="1">B20/C20</f>
        <v>0</v>
      </c>
      <c r="E20" s="7"/>
      <c r="F20" s="180"/>
      <c r="G20" s="14"/>
      <c r="H20" s="14"/>
      <c r="I20" s="14"/>
      <c r="J20" s="14"/>
      <c r="K20" s="14"/>
      <c r="L20" s="14"/>
      <c r="M20" s="14"/>
      <c r="N20" s="14"/>
      <c r="O20" s="14"/>
      <c r="P20" s="14"/>
    </row>
    <row r="21" spans="1:16" s="1" customFormat="1" outlineLevel="1">
      <c r="A21" s="11" t="s">
        <v>95</v>
      </c>
      <c r="B21" s="224"/>
      <c r="C21" s="171">
        <v>100</v>
      </c>
      <c r="D21" s="199">
        <f t="shared" si="1"/>
        <v>0</v>
      </c>
      <c r="E21" s="182"/>
      <c r="F21" s="180"/>
      <c r="G21" s="14"/>
      <c r="H21" s="14"/>
      <c r="I21" s="14"/>
      <c r="J21" s="14"/>
      <c r="K21" s="14"/>
      <c r="L21" s="14"/>
      <c r="M21" s="14"/>
      <c r="N21" s="14"/>
      <c r="O21" s="14"/>
      <c r="P21" s="14"/>
    </row>
    <row r="22" spans="1:16" s="71" customFormat="1" ht="31.5">
      <c r="A22" s="66" t="s">
        <v>49</v>
      </c>
      <c r="B22" s="185" t="s">
        <v>96</v>
      </c>
      <c r="C22" s="185" t="s">
        <v>97</v>
      </c>
      <c r="D22" s="81">
        <f ca="1">SUMPRODUCT(D23:D32,C23:C32)/(SUM(C23:C32))*E22</f>
        <v>0</v>
      </c>
      <c r="E22" s="137">
        <f ca="1">Vertailutaso!$E$38</f>
        <v>105</v>
      </c>
      <c r="F22" s="177">
        <f ca="1">IF(D22&lt;E22,D22/E22-1,0)</f>
        <v>-1</v>
      </c>
      <c r="G22" s="68" t="s">
        <v>45</v>
      </c>
      <c r="H22" s="69"/>
      <c r="I22" s="70"/>
      <c r="J22" s="70"/>
      <c r="K22" s="70"/>
      <c r="L22" s="70"/>
      <c r="M22" s="70"/>
      <c r="N22" s="70"/>
      <c r="O22" s="70"/>
      <c r="P22" s="70"/>
    </row>
    <row r="23" spans="1:16" s="1" customFormat="1" outlineLevel="1">
      <c r="A23" s="11" t="s">
        <v>98</v>
      </c>
      <c r="B23" s="172"/>
      <c r="C23" s="187">
        <v>1</v>
      </c>
      <c r="D23" s="199">
        <f>IF(C23&gt;0,B23/C23,0)</f>
        <v>0</v>
      </c>
      <c r="E23" s="7"/>
      <c r="F23" s="180"/>
      <c r="G23" s="14"/>
      <c r="H23" s="14"/>
      <c r="I23" s="14"/>
      <c r="J23" s="14"/>
      <c r="K23" s="14"/>
      <c r="L23" s="14"/>
      <c r="M23" s="14"/>
      <c r="N23" s="14"/>
      <c r="O23" s="14"/>
      <c r="P23" s="14"/>
    </row>
    <row r="24" spans="1:16" s="1" customFormat="1" outlineLevel="1">
      <c r="A24" s="11" t="s">
        <v>99</v>
      </c>
      <c r="B24" s="172">
        <v>0</v>
      </c>
      <c r="C24" s="187">
        <v>1</v>
      </c>
      <c r="D24" s="199">
        <f t="shared" ref="D24:D32" si="2">IF(C24&gt;0,B24/C24,0)</f>
        <v>0</v>
      </c>
      <c r="E24" s="7"/>
      <c r="F24" s="180"/>
      <c r="G24" s="14"/>
      <c r="H24" s="14"/>
      <c r="I24" s="14"/>
      <c r="J24" s="14"/>
      <c r="K24" s="14"/>
      <c r="L24" s="14"/>
      <c r="M24" s="14"/>
      <c r="N24" s="14"/>
      <c r="O24" s="14"/>
      <c r="P24" s="14"/>
    </row>
    <row r="25" spans="1:16" s="1" customFormat="1" outlineLevel="1">
      <c r="A25" s="11" t="s">
        <v>100</v>
      </c>
      <c r="B25" s="172">
        <v>0</v>
      </c>
      <c r="C25" s="187">
        <v>1</v>
      </c>
      <c r="D25" s="199">
        <f t="shared" si="2"/>
        <v>0</v>
      </c>
      <c r="E25" s="137"/>
      <c r="F25" s="180"/>
      <c r="G25" s="14"/>
      <c r="H25" s="14"/>
      <c r="I25" s="14"/>
      <c r="J25" s="14"/>
      <c r="K25" s="14"/>
      <c r="L25" s="14"/>
      <c r="M25" s="14"/>
      <c r="N25" s="14"/>
      <c r="O25" s="14"/>
      <c r="P25" s="14"/>
    </row>
    <row r="26" spans="1:16" s="1" customFormat="1" outlineLevel="1">
      <c r="A26" s="11" t="s">
        <v>101</v>
      </c>
      <c r="B26" s="172"/>
      <c r="C26" s="187">
        <v>1</v>
      </c>
      <c r="D26" s="199">
        <f t="shared" si="2"/>
        <v>0</v>
      </c>
      <c r="E26" s="7"/>
      <c r="F26" s="180"/>
      <c r="G26" s="14"/>
      <c r="H26" s="14"/>
      <c r="I26" s="14"/>
      <c r="J26" s="14"/>
      <c r="K26" s="14"/>
      <c r="L26" s="14"/>
      <c r="M26" s="14"/>
      <c r="N26" s="14"/>
      <c r="O26" s="14"/>
      <c r="P26" s="14"/>
    </row>
    <row r="27" spans="1:16" s="1" customFormat="1" outlineLevel="1">
      <c r="A27" s="11" t="s">
        <v>102</v>
      </c>
      <c r="B27" s="172"/>
      <c r="C27" s="187">
        <v>1</v>
      </c>
      <c r="D27" s="199">
        <f t="shared" si="2"/>
        <v>0</v>
      </c>
      <c r="E27" s="7"/>
      <c r="F27" s="180"/>
      <c r="G27" s="14"/>
      <c r="H27" s="14"/>
      <c r="I27" s="14"/>
      <c r="J27" s="14"/>
      <c r="K27" s="14"/>
      <c r="L27" s="14"/>
      <c r="M27" s="14"/>
      <c r="N27" s="14"/>
      <c r="O27" s="14"/>
      <c r="P27" s="14"/>
    </row>
    <row r="28" spans="1:16" s="1" customFormat="1" outlineLevel="1">
      <c r="A28" s="11" t="s">
        <v>103</v>
      </c>
      <c r="B28" s="172"/>
      <c r="C28" s="187">
        <v>1</v>
      </c>
      <c r="D28" s="199">
        <f t="shared" si="2"/>
        <v>0</v>
      </c>
      <c r="E28" s="7"/>
      <c r="F28" s="180"/>
      <c r="G28" s="14"/>
      <c r="H28" s="14"/>
      <c r="I28" s="14"/>
      <c r="J28" s="14"/>
      <c r="K28" s="14"/>
      <c r="L28" s="14"/>
      <c r="M28" s="14"/>
      <c r="N28" s="14"/>
      <c r="O28" s="14"/>
      <c r="P28" s="14"/>
    </row>
    <row r="29" spans="1:16" s="1" customFormat="1" outlineLevel="1">
      <c r="A29" s="11" t="s">
        <v>104</v>
      </c>
      <c r="B29" s="172"/>
      <c r="C29" s="187">
        <v>1</v>
      </c>
      <c r="D29" s="199">
        <f t="shared" si="2"/>
        <v>0</v>
      </c>
      <c r="E29" s="7"/>
      <c r="F29" s="180"/>
      <c r="G29" s="14"/>
      <c r="H29" s="14"/>
      <c r="I29" s="14"/>
      <c r="J29" s="14"/>
      <c r="K29" s="14"/>
      <c r="L29" s="14"/>
      <c r="M29" s="14"/>
      <c r="N29" s="14"/>
      <c r="O29" s="14"/>
      <c r="P29" s="14"/>
    </row>
    <row r="30" spans="1:16" s="1" customFormat="1" outlineLevel="1">
      <c r="A30" s="11" t="s">
        <v>105</v>
      </c>
      <c r="B30" s="172"/>
      <c r="C30" s="187">
        <v>1</v>
      </c>
      <c r="D30" s="199">
        <f t="shared" si="2"/>
        <v>0</v>
      </c>
      <c r="E30" s="137"/>
      <c r="F30" s="180"/>
      <c r="G30" s="14"/>
      <c r="H30" s="14"/>
      <c r="I30" s="14"/>
      <c r="J30" s="14"/>
      <c r="K30" s="14"/>
      <c r="L30" s="14"/>
      <c r="M30" s="14"/>
      <c r="N30" s="14"/>
      <c r="O30" s="14"/>
      <c r="P30" s="14"/>
    </row>
    <row r="31" spans="1:16" s="1" customFormat="1" outlineLevel="1">
      <c r="A31" s="11" t="s">
        <v>106</v>
      </c>
      <c r="B31" s="172"/>
      <c r="C31" s="187">
        <v>1</v>
      </c>
      <c r="D31" s="199">
        <f t="shared" si="2"/>
        <v>0</v>
      </c>
      <c r="E31" s="7"/>
      <c r="F31" s="180"/>
      <c r="G31" s="14"/>
      <c r="H31" s="14"/>
      <c r="I31" s="14"/>
      <c r="J31" s="14"/>
      <c r="K31" s="14"/>
      <c r="L31" s="14"/>
      <c r="M31" s="14"/>
      <c r="N31" s="14"/>
      <c r="O31" s="14"/>
      <c r="P31" s="14"/>
    </row>
    <row r="32" spans="1:16" s="1" customFormat="1" outlineLevel="1">
      <c r="A32" s="11" t="s">
        <v>107</v>
      </c>
      <c r="B32" s="172"/>
      <c r="C32" s="187">
        <v>1</v>
      </c>
      <c r="D32" s="199">
        <f t="shared" si="2"/>
        <v>0</v>
      </c>
      <c r="E32" s="7"/>
      <c r="F32" s="180"/>
      <c r="G32" s="14"/>
      <c r="H32" s="14"/>
      <c r="I32" s="14"/>
      <c r="J32" s="14"/>
      <c r="K32" s="14"/>
      <c r="L32" s="14"/>
      <c r="M32" s="14"/>
      <c r="N32" s="14"/>
      <c r="O32" s="14"/>
      <c r="P32" s="14"/>
    </row>
    <row r="33" spans="1:16" s="1" customFormat="1" outlineLevel="1">
      <c r="A33" s="11"/>
      <c r="B33" s="11"/>
      <c r="C33" s="11"/>
      <c r="D33" s="178"/>
      <c r="E33" s="7"/>
      <c r="F33" s="180"/>
      <c r="G33" s="14"/>
      <c r="H33" s="14"/>
      <c r="I33" s="14"/>
      <c r="J33" s="14"/>
      <c r="K33" s="14"/>
      <c r="L33" s="14"/>
      <c r="M33" s="14"/>
      <c r="N33" s="14"/>
      <c r="O33" s="14"/>
      <c r="P33" s="14"/>
    </row>
    <row r="34" spans="1:16" s="2" customFormat="1" ht="31.5">
      <c r="A34" s="183" t="s">
        <v>74</v>
      </c>
      <c r="B34" s="184"/>
      <c r="C34" s="184"/>
      <c r="D34" s="184">
        <f ca="1">D22+D18+D12+D10</f>
        <v>0</v>
      </c>
      <c r="E34" s="184">
        <f ca="1">E10+E12+E18+E22</f>
        <v>564</v>
      </c>
      <c r="F34" s="186">
        <f ca="1">IF(D34&lt;E34,D34/E34-1,0)</f>
        <v>-1</v>
      </c>
      <c r="G34" s="68" t="s">
        <v>45</v>
      </c>
      <c r="H34" s="13"/>
      <c r="I34" s="13"/>
      <c r="J34" s="13"/>
      <c r="K34" s="13"/>
      <c r="L34" s="13"/>
      <c r="M34" s="13"/>
      <c r="N34" s="13"/>
      <c r="O34" s="13"/>
      <c r="P34" s="13"/>
    </row>
    <row r="35" spans="1:16" s="1" customFormat="1" ht="142.9" customHeight="1">
      <c r="B35" s="4"/>
      <c r="C35" s="4"/>
      <c r="D35" s="4"/>
      <c r="E35" s="4"/>
      <c r="F35" s="64"/>
      <c r="G35" s="14"/>
      <c r="H35" s="14"/>
      <c r="I35" s="14"/>
      <c r="J35" s="14"/>
      <c r="K35" s="14"/>
      <c r="L35" s="14"/>
      <c r="M35" s="14"/>
      <c r="N35" s="14"/>
      <c r="O35" s="14"/>
      <c r="P35" s="14"/>
    </row>
    <row r="36" spans="1:16" s="1" customFormat="1" ht="14.45" customHeight="1">
      <c r="B36" s="4"/>
      <c r="C36" s="4"/>
      <c r="D36" s="4"/>
      <c r="E36" s="4"/>
      <c r="F36" s="64"/>
      <c r="G36" s="14"/>
      <c r="H36" s="14"/>
      <c r="I36" s="14"/>
      <c r="J36" s="14"/>
      <c r="K36" s="14"/>
      <c r="L36" s="14"/>
      <c r="M36" s="14"/>
      <c r="N36" s="14"/>
      <c r="O36" s="14"/>
      <c r="P36" s="14"/>
    </row>
    <row r="37" spans="1:16" ht="14.45" customHeight="1">
      <c r="G37" s="9"/>
      <c r="H37" s="9"/>
      <c r="I37" s="9"/>
      <c r="J37" s="9"/>
      <c r="K37" s="9"/>
      <c r="L37" s="9"/>
      <c r="M37" s="9"/>
      <c r="N37" s="9"/>
      <c r="O37" s="9"/>
      <c r="P37" s="9"/>
    </row>
    <row r="38" spans="1:16" ht="14.45" customHeight="1">
      <c r="G38" s="9"/>
      <c r="H38" s="9"/>
      <c r="I38" s="9"/>
      <c r="J38" s="9"/>
      <c r="K38" s="9"/>
      <c r="L38" s="9"/>
      <c r="M38" s="9"/>
      <c r="N38" s="9"/>
      <c r="O38" s="9"/>
      <c r="P38" s="9"/>
    </row>
    <row r="39" spans="1:16" ht="14.45" customHeight="1">
      <c r="A39" s="71"/>
      <c r="B39" s="67" t="s">
        <v>108</v>
      </c>
      <c r="C39" s="67" t="s">
        <v>82</v>
      </c>
      <c r="D39" s="18"/>
      <c r="E39" s="18"/>
      <c r="G39" s="9"/>
      <c r="H39" s="9"/>
      <c r="I39" s="9"/>
      <c r="J39" s="9"/>
      <c r="K39" s="9"/>
      <c r="L39" s="9"/>
      <c r="M39" s="9"/>
      <c r="N39" s="9"/>
      <c r="O39" s="9"/>
      <c r="P39" s="9"/>
    </row>
    <row r="40" spans="1:16" ht="14.45" customHeight="1">
      <c r="A40" s="69" t="s">
        <v>46</v>
      </c>
      <c r="B40" s="8">
        <f ca="1">D10</f>
        <v>0</v>
      </c>
      <c r="C40" s="8">
        <f ca="1">E10</f>
        <v>40</v>
      </c>
      <c r="D40" s="18"/>
      <c r="E40" s="18"/>
      <c r="G40" s="9"/>
      <c r="H40" s="9"/>
      <c r="I40" s="9"/>
      <c r="J40" s="9"/>
      <c r="K40" s="9"/>
      <c r="L40" s="9"/>
      <c r="M40" s="9"/>
      <c r="N40" s="9"/>
      <c r="O40" s="9"/>
      <c r="P40" s="9"/>
    </row>
    <row r="41" spans="1:16" ht="16.899999999999999" customHeight="1">
      <c r="A41" s="14" t="s">
        <v>47</v>
      </c>
      <c r="B41" s="8">
        <f ca="1">D12</f>
        <v>0</v>
      </c>
      <c r="C41" s="8">
        <f ca="1">E12</f>
        <v>360</v>
      </c>
      <c r="D41" s="18"/>
      <c r="E41" s="18"/>
      <c r="G41" s="9"/>
      <c r="H41" s="9"/>
      <c r="I41" s="9"/>
      <c r="J41" s="9"/>
      <c r="K41" s="9"/>
      <c r="L41" s="9"/>
      <c r="M41" s="9"/>
      <c r="N41" s="9"/>
      <c r="O41" s="9"/>
      <c r="P41" s="9"/>
    </row>
    <row r="42" spans="1:16" ht="14.45" customHeight="1">
      <c r="A42" s="69" t="s">
        <v>109</v>
      </c>
      <c r="B42" s="8">
        <f ca="1">D18</f>
        <v>0</v>
      </c>
      <c r="C42" s="8">
        <f ca="1">E18</f>
        <v>59</v>
      </c>
      <c r="D42" s="18"/>
      <c r="E42" s="18"/>
      <c r="G42" s="9"/>
      <c r="H42" s="9"/>
      <c r="I42" s="9"/>
      <c r="J42" s="9"/>
      <c r="K42" s="9"/>
      <c r="L42" s="9"/>
      <c r="M42" s="9"/>
      <c r="N42" s="9"/>
      <c r="O42" s="9"/>
      <c r="P42" s="9"/>
    </row>
    <row r="43" spans="1:16" ht="14.45" customHeight="1">
      <c r="A43" s="14" t="s">
        <v>49</v>
      </c>
      <c r="B43" s="8">
        <f ca="1">D22</f>
        <v>0</v>
      </c>
      <c r="C43" s="8">
        <f ca="1">E22</f>
        <v>105</v>
      </c>
      <c r="D43" s="18"/>
      <c r="E43" s="18"/>
      <c r="G43" s="9"/>
      <c r="H43" s="9"/>
      <c r="I43" s="9"/>
      <c r="J43" s="9"/>
      <c r="K43" s="9"/>
      <c r="L43" s="9"/>
      <c r="M43" s="9"/>
      <c r="N43" s="9"/>
      <c r="O43" s="9"/>
      <c r="P43" s="9"/>
    </row>
    <row r="44" spans="1:16" ht="14.45" customHeight="1">
      <c r="B44" s="18"/>
      <c r="C44" s="18"/>
      <c r="D44" s="18"/>
      <c r="E44" s="18"/>
      <c r="G44" s="9"/>
      <c r="H44" s="9"/>
      <c r="I44" s="9"/>
      <c r="J44" s="9"/>
      <c r="K44" s="9"/>
      <c r="L44" s="9"/>
      <c r="M44" s="9"/>
      <c r="N44" s="9"/>
      <c r="O44" s="9"/>
      <c r="P44" s="9"/>
    </row>
    <row r="45" spans="1:16" ht="14.45" customHeight="1">
      <c r="G45" s="9"/>
      <c r="H45" s="9"/>
      <c r="I45" s="9"/>
      <c r="J45" s="9"/>
      <c r="K45" s="9"/>
      <c r="L45" s="9"/>
      <c r="M45" s="9"/>
      <c r="N45" s="9"/>
      <c r="O45" s="9"/>
      <c r="P45" s="9"/>
    </row>
    <row r="46" spans="1:16" ht="14.45" customHeight="1">
      <c r="G46" s="9"/>
      <c r="H46" s="9"/>
      <c r="I46" s="9"/>
      <c r="J46" s="9"/>
      <c r="K46" s="9"/>
      <c r="L46" s="9"/>
      <c r="M46" s="9"/>
      <c r="N46" s="9"/>
      <c r="O46" s="9"/>
      <c r="P46" s="9"/>
    </row>
    <row r="47" spans="1:16" ht="14.45" customHeight="1">
      <c r="G47" s="9"/>
      <c r="H47" s="9"/>
      <c r="I47" s="9"/>
      <c r="J47" s="9"/>
      <c r="K47" s="9"/>
      <c r="L47" s="9"/>
      <c r="M47" s="9"/>
      <c r="N47" s="9"/>
      <c r="O47" s="9"/>
      <c r="P47" s="9"/>
    </row>
    <row r="48" spans="1:16" ht="14.45" customHeight="1">
      <c r="G48" s="9"/>
      <c r="H48" s="9"/>
      <c r="I48" s="9"/>
      <c r="J48" s="9"/>
      <c r="K48" s="9"/>
      <c r="L48" s="9"/>
      <c r="M48" s="9"/>
      <c r="N48" s="9"/>
      <c r="O48" s="9"/>
      <c r="P48" s="9"/>
    </row>
    <row r="49" spans="1:16" ht="14.45" customHeight="1">
      <c r="G49" s="9"/>
      <c r="H49" s="9"/>
      <c r="I49" s="9"/>
      <c r="J49" s="9"/>
      <c r="K49" s="9"/>
      <c r="L49" s="9"/>
      <c r="M49" s="9"/>
      <c r="N49" s="9"/>
      <c r="O49" s="9"/>
      <c r="P49" s="9"/>
    </row>
    <row r="50" spans="1:16" ht="14.45" customHeight="1">
      <c r="G50" s="9"/>
      <c r="H50" s="9"/>
      <c r="I50" s="9"/>
      <c r="J50" s="9"/>
      <c r="K50" s="9"/>
      <c r="L50" s="9"/>
      <c r="M50" s="9"/>
      <c r="N50" s="9"/>
      <c r="O50" s="9"/>
      <c r="P50" s="9"/>
    </row>
    <row r="51" spans="1:16" ht="14.45" customHeight="1">
      <c r="G51" s="9"/>
      <c r="H51" s="9"/>
      <c r="I51" s="9"/>
      <c r="J51" s="9"/>
      <c r="K51" s="9"/>
      <c r="L51" s="9"/>
      <c r="M51" s="9"/>
      <c r="N51" s="9"/>
      <c r="O51" s="9"/>
      <c r="P51" s="9"/>
    </row>
    <row r="52" spans="1:16" ht="14.45" customHeight="1">
      <c r="G52" s="9"/>
      <c r="H52" s="9"/>
      <c r="I52" s="9"/>
      <c r="J52" s="9"/>
      <c r="K52" s="9"/>
      <c r="L52" s="9"/>
      <c r="M52" s="9"/>
      <c r="N52" s="9"/>
      <c r="O52" s="9"/>
      <c r="P52" s="9"/>
    </row>
    <row r="53" spans="1:16" ht="14.45" customHeight="1">
      <c r="G53" s="9"/>
      <c r="H53" s="9"/>
      <c r="I53" s="9"/>
      <c r="J53" s="9"/>
      <c r="K53" s="9"/>
      <c r="L53" s="9"/>
      <c r="M53" s="9"/>
      <c r="N53" s="9"/>
      <c r="O53" s="9"/>
      <c r="P53" s="9"/>
    </row>
    <row r="54" spans="1:16" ht="14.45" customHeight="1">
      <c r="G54" s="9"/>
      <c r="H54" s="9"/>
      <c r="I54" s="9"/>
      <c r="J54" s="9"/>
      <c r="K54" s="9"/>
      <c r="L54" s="9"/>
      <c r="M54" s="9"/>
      <c r="N54" s="9"/>
      <c r="O54" s="9"/>
      <c r="P54" s="9"/>
    </row>
    <row r="55" spans="1:16" ht="14.45" customHeight="1">
      <c r="G55" s="9"/>
      <c r="H55" s="9"/>
      <c r="I55" s="9"/>
      <c r="J55" s="9"/>
      <c r="K55" s="9"/>
      <c r="L55" s="9"/>
      <c r="M55" s="9"/>
      <c r="N55" s="9"/>
      <c r="O55" s="9"/>
      <c r="P55" s="9"/>
    </row>
    <row r="56" spans="1:16" ht="14.45" customHeight="1">
      <c r="G56" s="9"/>
      <c r="H56" s="9"/>
      <c r="I56" s="9"/>
      <c r="J56" s="9"/>
      <c r="K56" s="9"/>
      <c r="L56" s="9"/>
      <c r="M56" s="9"/>
      <c r="N56" s="9"/>
      <c r="O56" s="9"/>
      <c r="P56" s="9"/>
    </row>
    <row r="57" spans="1:16" ht="14.45" customHeight="1">
      <c r="G57" s="9"/>
      <c r="H57" s="9"/>
      <c r="I57" s="9"/>
      <c r="J57" s="9"/>
      <c r="K57" s="9"/>
      <c r="L57" s="9"/>
      <c r="M57" s="9"/>
      <c r="N57" s="9"/>
      <c r="O57" s="9"/>
      <c r="P57" s="9"/>
    </row>
    <row r="58" spans="1:16" ht="14.45" customHeight="1">
      <c r="A58" s="9"/>
      <c r="B58" s="10"/>
      <c r="C58" s="10"/>
      <c r="D58" s="10"/>
      <c r="E58" s="10"/>
      <c r="F58" s="62"/>
      <c r="G58" s="9"/>
      <c r="H58" s="9"/>
      <c r="I58" s="9"/>
      <c r="J58" s="9"/>
      <c r="K58" s="9"/>
      <c r="L58" s="9"/>
      <c r="M58" s="9"/>
      <c r="N58" s="9"/>
      <c r="O58" s="9"/>
      <c r="P58" s="9"/>
    </row>
    <row r="59" spans="1:16" ht="14.45" customHeight="1">
      <c r="A59" s="9"/>
      <c r="B59" s="10"/>
      <c r="C59" s="10"/>
      <c r="D59" s="10"/>
      <c r="E59" s="10"/>
      <c r="F59" s="62"/>
      <c r="G59" s="9"/>
      <c r="H59" s="9"/>
      <c r="I59" s="9"/>
      <c r="J59" s="9"/>
      <c r="K59" s="9"/>
      <c r="L59" s="9"/>
      <c r="M59" s="9"/>
      <c r="N59" s="9"/>
      <c r="O59" s="9"/>
      <c r="P59" s="9"/>
    </row>
    <row r="60" spans="1:16" ht="14.45" customHeight="1">
      <c r="A60" s="9"/>
      <c r="B60" s="10"/>
      <c r="C60" s="10"/>
      <c r="D60" s="10"/>
      <c r="E60" s="10"/>
      <c r="F60" s="62"/>
      <c r="G60" s="9"/>
      <c r="H60" s="9"/>
      <c r="I60" s="9"/>
      <c r="J60" s="9"/>
      <c r="K60" s="9"/>
      <c r="L60" s="9"/>
      <c r="M60" s="9"/>
      <c r="N60" s="9"/>
      <c r="O60" s="9"/>
      <c r="P60" s="9"/>
    </row>
    <row r="61" spans="1:16" ht="14.45" customHeight="1">
      <c r="A61" s="9"/>
      <c r="B61" s="10"/>
      <c r="C61" s="10"/>
      <c r="D61" s="10"/>
      <c r="E61" s="10"/>
      <c r="F61" s="62"/>
      <c r="G61" s="9"/>
      <c r="H61" s="9"/>
      <c r="I61" s="9"/>
      <c r="J61" s="9"/>
      <c r="K61" s="9"/>
      <c r="L61" s="9"/>
      <c r="M61" s="9"/>
      <c r="N61" s="9"/>
      <c r="O61" s="9"/>
      <c r="P61" s="9"/>
    </row>
    <row r="62" spans="1:16" ht="14.45" customHeight="1">
      <c r="A62" s="9"/>
      <c r="B62" s="10" t="s">
        <v>76</v>
      </c>
      <c r="C62" s="10" t="s">
        <v>77</v>
      </c>
      <c r="D62" s="10" t="s">
        <v>76</v>
      </c>
      <c r="E62" s="10" t="s">
        <v>77</v>
      </c>
      <c r="F62" s="62"/>
      <c r="G62" s="9"/>
      <c r="H62" s="9"/>
      <c r="I62" s="9"/>
      <c r="J62" s="9"/>
      <c r="K62" s="9"/>
      <c r="L62" s="9"/>
      <c r="M62" s="9"/>
      <c r="N62" s="9"/>
      <c r="O62" s="9"/>
      <c r="P62" s="9"/>
    </row>
    <row r="63" spans="1:16" ht="14.45" customHeight="1">
      <c r="A63" s="10" t="str">
        <f>A10</f>
        <v>Aluerakenteet</v>
      </c>
      <c r="B63" s="10" t="str">
        <f>B10</f>
        <v>Uusittu alue</v>
      </c>
      <c r="C63" s="10" t="str">
        <f>C10</f>
        <v>Kokonais-
määrä</v>
      </c>
      <c r="D63" s="10">
        <f ca="1">D10</f>
        <v>0</v>
      </c>
      <c r="E63" s="10" t="e">
        <f>#REF!</f>
        <v>#REF!</v>
      </c>
      <c r="F63" s="62"/>
      <c r="G63" s="9"/>
      <c r="H63" s="9"/>
      <c r="I63" s="9"/>
      <c r="J63" s="9"/>
      <c r="K63" s="9"/>
      <c r="L63" s="9"/>
      <c r="M63" s="9"/>
      <c r="N63" s="9"/>
      <c r="O63" s="9"/>
      <c r="P63" s="9"/>
    </row>
    <row r="64" spans="1:16" ht="14.45" customHeight="1">
      <c r="A64" s="10" t="str">
        <f>A18</f>
        <v>Tilaosat</v>
      </c>
      <c r="B64" s="10" t="str">
        <f>B18</f>
        <v>Uusittu alue</v>
      </c>
      <c r="C64" s="10" t="str">
        <f>C18</f>
        <v>Kokonais-
määrä</v>
      </c>
      <c r="D64" s="10">
        <f ca="1">D18</f>
        <v>0</v>
      </c>
      <c r="E64" s="10">
        <f ca="1">E18</f>
        <v>59</v>
      </c>
      <c r="F64" s="62"/>
      <c r="G64" s="9"/>
      <c r="H64" s="9"/>
      <c r="I64" s="9"/>
      <c r="J64" s="9"/>
      <c r="K64" s="9"/>
      <c r="L64" s="9"/>
      <c r="M64" s="9"/>
      <c r="N64" s="9"/>
      <c r="O64" s="9"/>
      <c r="P64" s="9"/>
    </row>
    <row r="65" spans="1:16" ht="14.45" customHeight="1">
      <c r="A65" s="10" t="e">
        <f>#REF!</f>
        <v>#REF!</v>
      </c>
      <c r="B65" s="10" t="e">
        <f>#REF!</f>
        <v>#REF!</v>
      </c>
      <c r="C65" s="10" t="e">
        <f>#REF!</f>
        <v>#REF!</v>
      </c>
      <c r="D65" s="10" t="e">
        <f>#REF!</f>
        <v>#REF!</v>
      </c>
      <c r="E65" s="10" t="e">
        <f>#REF!</f>
        <v>#REF!</v>
      </c>
      <c r="F65" s="62"/>
      <c r="G65" s="9"/>
      <c r="H65" s="9"/>
      <c r="I65" s="9"/>
      <c r="J65" s="9"/>
      <c r="K65" s="9"/>
      <c r="L65" s="9"/>
      <c r="M65" s="9"/>
      <c r="N65" s="9"/>
      <c r="O65" s="9"/>
      <c r="P65" s="9"/>
    </row>
    <row r="66" spans="1:16" ht="14.45" customHeight="1">
      <c r="A66" s="10" t="e">
        <f>#REF!</f>
        <v>#REF!</v>
      </c>
      <c r="B66" s="10" t="e">
        <f>#REF!</f>
        <v>#REF!</v>
      </c>
      <c r="C66" s="10" t="e">
        <f>#REF!</f>
        <v>#REF!</v>
      </c>
      <c r="D66" s="10" t="e">
        <f>#REF!</f>
        <v>#REF!</v>
      </c>
      <c r="E66" s="10" t="e">
        <f>#REF!</f>
        <v>#REF!</v>
      </c>
      <c r="F66" s="62"/>
      <c r="G66" s="9"/>
      <c r="H66" s="9"/>
      <c r="I66" s="9"/>
      <c r="J66" s="9"/>
      <c r="K66" s="9"/>
      <c r="L66" s="9"/>
      <c r="M66" s="9"/>
      <c r="N66" s="9"/>
      <c r="O66" s="9"/>
      <c r="P66" s="9"/>
    </row>
    <row r="67" spans="1:16" ht="14.45" customHeight="1">
      <c r="A67" s="22" t="s">
        <v>75</v>
      </c>
      <c r="B67" s="22" t="e">
        <f>#REF!</f>
        <v>#REF!</v>
      </c>
      <c r="C67" s="22" t="e">
        <f>#REF!</f>
        <v>#REF!</v>
      </c>
      <c r="D67" s="22" t="e">
        <f>#REF!</f>
        <v>#REF!</v>
      </c>
      <c r="E67" s="22" t="e">
        <f>#REF!</f>
        <v>#REF!</v>
      </c>
      <c r="F67" s="62"/>
      <c r="G67" s="9"/>
      <c r="H67" s="9"/>
      <c r="I67" s="9"/>
      <c r="J67" s="9"/>
      <c r="K67" s="9"/>
      <c r="L67" s="9"/>
      <c r="M67" s="9"/>
      <c r="N67" s="9"/>
      <c r="O67" s="9"/>
      <c r="P67" s="9"/>
    </row>
    <row r="68" spans="1:16" ht="14.45" customHeight="1">
      <c r="A68" s="10" t="e">
        <f>#REF!</f>
        <v>#REF!</v>
      </c>
      <c r="B68" s="10" t="e">
        <f>#REF!</f>
        <v>#REF!</v>
      </c>
      <c r="C68" s="10" t="e">
        <f>#REF!</f>
        <v>#REF!</v>
      </c>
      <c r="D68" s="10" t="e">
        <f>#REF!</f>
        <v>#REF!</v>
      </c>
      <c r="E68" s="10" t="e">
        <f>#REF!</f>
        <v>#REF!</v>
      </c>
      <c r="F68" s="62"/>
      <c r="G68" s="9"/>
      <c r="H68" s="9"/>
      <c r="I68" s="9"/>
      <c r="J68" s="9"/>
      <c r="K68" s="9"/>
      <c r="L68" s="9"/>
      <c r="M68" s="9"/>
      <c r="N68" s="9"/>
      <c r="O68" s="9"/>
      <c r="P68" s="9"/>
    </row>
    <row r="69" spans="1:16" ht="14.45" customHeight="1">
      <c r="A69" s="9"/>
      <c r="B69" s="10"/>
      <c r="C69" s="10"/>
      <c r="D69" s="10"/>
      <c r="E69" s="10"/>
      <c r="F69" s="62"/>
      <c r="G69" s="9"/>
      <c r="H69" s="9"/>
      <c r="I69" s="9"/>
      <c r="J69" s="9"/>
      <c r="K69" s="9"/>
      <c r="L69" s="9"/>
      <c r="M69" s="9"/>
      <c r="N69" s="9"/>
      <c r="O69" s="9"/>
      <c r="P69" s="9"/>
    </row>
    <row r="70" spans="1:16" ht="14.45" customHeight="1">
      <c r="A70" s="9"/>
      <c r="B70" s="10"/>
      <c r="C70" s="10"/>
      <c r="D70" s="10"/>
      <c r="E70" s="10"/>
      <c r="F70" s="62"/>
      <c r="G70" s="9"/>
      <c r="H70" s="9"/>
      <c r="I70" s="9"/>
      <c r="J70" s="9"/>
      <c r="K70" s="9"/>
      <c r="L70" s="9"/>
      <c r="M70" s="9"/>
      <c r="N70" s="9"/>
      <c r="O70" s="9"/>
      <c r="P70" s="9"/>
    </row>
    <row r="71" spans="1:16" ht="14.45" customHeight="1">
      <c r="A71" s="9"/>
      <c r="B71" s="10"/>
      <c r="C71" s="10"/>
      <c r="D71" s="10"/>
      <c r="E71" s="10"/>
      <c r="F71" s="62"/>
      <c r="G71" s="9"/>
      <c r="H71" s="9"/>
      <c r="I71" s="9"/>
      <c r="J71" s="9"/>
      <c r="K71" s="9"/>
      <c r="L71" s="9"/>
      <c r="M71" s="9"/>
      <c r="N71" s="9"/>
      <c r="O71" s="9"/>
      <c r="P71" s="9"/>
    </row>
    <row r="72" spans="1:16" ht="14.45" customHeight="1">
      <c r="A72" s="9"/>
      <c r="B72" s="10"/>
      <c r="C72" s="10"/>
      <c r="D72" s="10"/>
      <c r="E72" s="10"/>
      <c r="F72" s="62"/>
      <c r="G72" s="9"/>
      <c r="H72" s="9"/>
      <c r="I72" s="9"/>
      <c r="J72" s="9"/>
      <c r="K72" s="9"/>
      <c r="L72" s="9"/>
      <c r="M72" s="9"/>
      <c r="N72" s="9"/>
      <c r="O72" s="9"/>
      <c r="P72" s="9"/>
    </row>
    <row r="73" spans="1:16" ht="14.45" customHeight="1">
      <c r="A73" s="9"/>
      <c r="B73" s="10"/>
      <c r="C73" s="10"/>
      <c r="D73" s="10"/>
      <c r="E73" s="10"/>
      <c r="F73" s="62"/>
      <c r="G73" s="9"/>
      <c r="H73" s="9"/>
      <c r="I73" s="9"/>
      <c r="J73" s="9"/>
      <c r="K73" s="9"/>
      <c r="L73" s="9"/>
      <c r="M73" s="9"/>
      <c r="N73" s="9"/>
      <c r="O73" s="9"/>
      <c r="P73" s="9"/>
    </row>
    <row r="74" spans="1:16" ht="14.45" customHeight="1">
      <c r="A74" s="9"/>
      <c r="B74" s="10"/>
      <c r="C74" s="10"/>
      <c r="D74" s="10"/>
      <c r="E74" s="10"/>
      <c r="F74" s="62"/>
      <c r="G74" s="9"/>
      <c r="H74" s="9"/>
      <c r="I74" s="9"/>
      <c r="J74" s="9"/>
      <c r="K74" s="9"/>
      <c r="L74" s="9"/>
      <c r="M74" s="9"/>
      <c r="N74" s="9"/>
      <c r="O74" s="9"/>
      <c r="P74" s="9"/>
    </row>
    <row r="75" spans="1:16" ht="14.45" customHeight="1">
      <c r="A75" s="9"/>
      <c r="B75" s="10"/>
      <c r="C75" s="10"/>
      <c r="D75" s="10"/>
      <c r="E75" s="10"/>
      <c r="F75" s="62"/>
      <c r="G75" s="9"/>
      <c r="H75" s="9"/>
      <c r="I75" s="9"/>
      <c r="J75" s="9"/>
      <c r="K75" s="9"/>
      <c r="L75" s="9"/>
      <c r="M75" s="9"/>
      <c r="N75" s="9"/>
      <c r="O75" s="9"/>
      <c r="P75" s="9"/>
    </row>
    <row r="76" spans="1:16">
      <c r="A76" s="9"/>
      <c r="B76" s="10"/>
      <c r="C76" s="10"/>
      <c r="D76" s="10"/>
      <c r="E76" s="10"/>
      <c r="F76" s="62"/>
      <c r="G76" s="9"/>
      <c r="H76" s="9"/>
      <c r="I76" s="9"/>
      <c r="J76" s="9"/>
      <c r="K76" s="9"/>
      <c r="L76" s="9"/>
      <c r="M76" s="9"/>
      <c r="N76" s="9"/>
      <c r="O76" s="9"/>
      <c r="P76" s="9"/>
    </row>
    <row r="77" spans="1:16">
      <c r="A77" s="9"/>
      <c r="B77" s="10"/>
      <c r="C77" s="10"/>
      <c r="D77" s="10"/>
      <c r="E77" s="10"/>
      <c r="F77" s="62"/>
      <c r="G77" s="9"/>
      <c r="H77" s="9"/>
      <c r="I77" s="9"/>
      <c r="J77" s="9"/>
      <c r="K77" s="9"/>
      <c r="L77" s="9"/>
      <c r="M77" s="9"/>
      <c r="N77" s="9"/>
      <c r="O77" s="9"/>
      <c r="P77" s="9"/>
    </row>
    <row r="78" spans="1:16">
      <c r="A78" s="9"/>
      <c r="B78" s="10"/>
      <c r="C78" s="10"/>
      <c r="D78" s="10"/>
      <c r="E78" s="10"/>
      <c r="F78" s="62"/>
      <c r="G78" s="9"/>
      <c r="H78" s="9"/>
      <c r="I78" s="9"/>
      <c r="J78" s="9"/>
      <c r="K78" s="9"/>
      <c r="L78" s="9"/>
      <c r="M78" s="9"/>
      <c r="N78" s="9"/>
      <c r="O78" s="9"/>
      <c r="P78" s="9"/>
    </row>
    <row r="79" spans="1:16">
      <c r="A79" s="9"/>
      <c r="B79" s="10"/>
      <c r="C79" s="10"/>
      <c r="D79" s="10"/>
      <c r="E79" s="10"/>
      <c r="F79" s="62"/>
      <c r="G79" s="9"/>
      <c r="H79" s="9"/>
      <c r="I79" s="9"/>
      <c r="J79" s="9"/>
      <c r="K79" s="9"/>
      <c r="L79" s="9"/>
      <c r="M79" s="9"/>
      <c r="N79" s="9"/>
      <c r="O79" s="9"/>
      <c r="P79" s="9"/>
    </row>
    <row r="80" spans="1:16">
      <c r="A80" s="9"/>
      <c r="B80" s="10"/>
      <c r="C80" s="10"/>
      <c r="D80" s="10"/>
      <c r="E80" s="10"/>
      <c r="F80" s="62"/>
      <c r="G80" s="9"/>
      <c r="H80" s="9"/>
      <c r="I80" s="9"/>
      <c r="J80" s="9"/>
      <c r="K80" s="9"/>
      <c r="L80" s="9"/>
      <c r="M80" s="9"/>
      <c r="N80" s="9"/>
      <c r="O80" s="9"/>
      <c r="P80" s="9"/>
    </row>
  </sheetData>
  <sheetProtection algorithmName="SHA-512" hashValue="YvkmJSMndXkYnIWeJJPvsX1Va2/tcAjr/5MUYIU6OD+JRd8mtcb7bZ3InmR8W1RDj/BgAU/eWjS/QMclgN5+9Q==" saltValue="MVSEPItt68QZzRipDodnhA==" spinCount="100000" sheet="1" objects="1" scenarios="1"/>
  <mergeCells count="3">
    <mergeCell ref="B3:D3"/>
    <mergeCell ref="B4:D4"/>
    <mergeCell ref="B5:D5"/>
  </mergeCells>
  <dataValidations count="2">
    <dataValidation type="decimal" allowBlank="1" showInputMessage="1" showErrorMessage="1" sqref="B23:B32" xr:uid="{57D591FC-A4A8-47A4-BA50-438B3EDB0E34}">
      <formula1>0</formula1>
      <formula2>1</formula2>
    </dataValidation>
    <dataValidation type="whole" allowBlank="1" showInputMessage="1" showErrorMessage="1" sqref="C23:C32" xr:uid="{F1356831-C43D-423C-A2B3-E2C659FCB7F7}">
      <formula1>0</formula1>
      <formula2>1</formula2>
    </dataValidation>
  </dataValidations>
  <pageMargins left="0.70866141732283472" right="0.70866141732283472" top="0.74803149606299213" bottom="0.74803149606299213" header="0.31496062992125984" footer="0.31496062992125984"/>
  <pageSetup paperSize="9" scale="96" fitToWidth="0" orientation="portrait" horizont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Vertailutaso!$A$3:$A$10</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21"/>
  <dimension ref="A1:AI47"/>
  <sheetViews>
    <sheetView topLeftCell="A13" zoomScale="130" zoomScaleNormal="130" zoomScaleSheetLayoutView="100" workbookViewId="0">
      <selection activeCell="M38" sqref="M38"/>
    </sheetView>
  </sheetViews>
  <sheetFormatPr defaultColWidth="9.28515625" defaultRowHeight="15"/>
  <cols>
    <col min="1" max="1" width="30.28515625" customWidth="1"/>
    <col min="4" max="5" width="11.42578125" customWidth="1"/>
    <col min="6" max="6" width="9.5703125" customWidth="1"/>
    <col min="7" max="7" width="10" customWidth="1"/>
    <col min="8" max="8" width="11.28515625" customWidth="1"/>
    <col min="9" max="10" width="9.28515625" customWidth="1"/>
    <col min="11" max="11" width="9.5703125" customWidth="1"/>
    <col min="12" max="16" width="9.28515625" customWidth="1"/>
    <col min="17" max="17" width="12.28515625" customWidth="1"/>
    <col min="18" max="18" width="11.7109375" customWidth="1"/>
    <col min="19" max="19" width="10.7109375" customWidth="1"/>
    <col min="20" max="20" width="9.28515625" style="3"/>
    <col min="21" max="21" width="10.28515625" customWidth="1"/>
    <col min="25" max="25" width="14.7109375" customWidth="1"/>
  </cols>
  <sheetData>
    <row r="1" spans="1:35">
      <c r="I1" s="3"/>
      <c r="J1">
        <v>1.2</v>
      </c>
      <c r="K1">
        <v>1.2</v>
      </c>
      <c r="L1">
        <v>1.2</v>
      </c>
      <c r="N1" s="3">
        <v>0.5</v>
      </c>
      <c r="T1"/>
    </row>
    <row r="2" spans="1:35" ht="90">
      <c r="A2" s="51"/>
      <c r="B2" s="124" t="s">
        <v>110</v>
      </c>
      <c r="C2" s="34" t="s">
        <v>111</v>
      </c>
      <c r="D2" s="34" t="s">
        <v>112</v>
      </c>
      <c r="E2" s="34" t="s">
        <v>113</v>
      </c>
      <c r="F2" s="34" t="s">
        <v>114</v>
      </c>
      <c r="G2" s="34" t="s">
        <v>115</v>
      </c>
      <c r="H2" s="34" t="s">
        <v>116</v>
      </c>
      <c r="I2" s="34" t="s">
        <v>117</v>
      </c>
      <c r="J2" s="34" t="s">
        <v>118</v>
      </c>
      <c r="K2" s="34" t="s">
        <v>119</v>
      </c>
      <c r="L2" s="34" t="s">
        <v>120</v>
      </c>
      <c r="M2" s="34" t="s">
        <v>121</v>
      </c>
      <c r="N2" s="53" t="s">
        <v>122</v>
      </c>
      <c r="O2" s="34" t="s">
        <v>121</v>
      </c>
      <c r="P2" s="53" t="s">
        <v>123</v>
      </c>
      <c r="R2" t="s">
        <v>124</v>
      </c>
      <c r="S2" t="s">
        <v>37</v>
      </c>
      <c r="T2"/>
    </row>
    <row r="3" spans="1:35">
      <c r="A3" s="54" t="s">
        <v>125</v>
      </c>
      <c r="B3" s="46">
        <f>L18</f>
        <v>5.2560000000000002</v>
      </c>
      <c r="C3" s="46">
        <f t="shared" ref="B3:C6" si="0">M18</f>
        <v>15.768000000000001</v>
      </c>
      <c r="D3" s="46">
        <f t="shared" ref="D3:D6" si="1">P18*F18*2/1000</f>
        <v>7.008</v>
      </c>
      <c r="E3" s="46">
        <v>2.8</v>
      </c>
      <c r="F3" s="55">
        <f>B3+D3+E3</f>
        <v>15.064</v>
      </c>
      <c r="G3" s="55">
        <f>C3</f>
        <v>15.768000000000001</v>
      </c>
      <c r="H3" s="55">
        <v>0</v>
      </c>
      <c r="I3" s="121">
        <v>105</v>
      </c>
      <c r="J3" s="46">
        <f t="shared" ref="J3:L10" si="2">F3*J$1</f>
        <v>18.076799999999999</v>
      </c>
      <c r="K3" s="46">
        <f t="shared" si="2"/>
        <v>18.921600000000002</v>
      </c>
      <c r="L3" s="46">
        <f t="shared" si="2"/>
        <v>0</v>
      </c>
      <c r="M3" s="46">
        <f>I3-J3-K3-L3</f>
        <v>68.00160000000001</v>
      </c>
      <c r="N3" s="55">
        <f>M3/N$1</f>
        <v>136.00320000000002</v>
      </c>
      <c r="O3" s="46">
        <f t="shared" ref="O3:O6" si="3">(W18+X18)/2-J3-K3-L3</f>
        <v>93.00160000000001</v>
      </c>
      <c r="P3" s="55">
        <f>O3/0.7</f>
        <v>132.85942857142859</v>
      </c>
      <c r="R3" s="121">
        <v>56</v>
      </c>
      <c r="S3" s="127">
        <f>1-R3/I3</f>
        <v>0.46666666666666667</v>
      </c>
      <c r="T3"/>
    </row>
    <row r="4" spans="1:35">
      <c r="A4" s="54" t="s">
        <v>126</v>
      </c>
      <c r="B4" s="46">
        <f t="shared" si="0"/>
        <v>7.8840000000000003</v>
      </c>
      <c r="C4" s="46">
        <f t="shared" si="0"/>
        <v>21.024000000000001</v>
      </c>
      <c r="D4" s="46">
        <f t="shared" si="1"/>
        <v>8.76</v>
      </c>
      <c r="E4" s="46">
        <v>2.8</v>
      </c>
      <c r="F4" s="55">
        <f t="shared" ref="F4:F10" si="4">B4+D4+E4</f>
        <v>19.443999999999999</v>
      </c>
      <c r="G4" s="55">
        <f t="shared" ref="G4:G10" si="5">C4</f>
        <v>21.024000000000001</v>
      </c>
      <c r="H4" s="55">
        <v>0</v>
      </c>
      <c r="I4" s="121">
        <v>90</v>
      </c>
      <c r="J4" s="46">
        <f t="shared" si="2"/>
        <v>23.332799999999999</v>
      </c>
      <c r="K4" s="46">
        <f t="shared" si="2"/>
        <v>25.2288</v>
      </c>
      <c r="L4" s="46">
        <f t="shared" si="2"/>
        <v>0</v>
      </c>
      <c r="M4" s="46">
        <f t="shared" ref="M4:M10" si="6">I4-J4-K4-L4</f>
        <v>41.438400000000009</v>
      </c>
      <c r="N4" s="55">
        <f t="shared" ref="N4:N10" si="7">M4/N$1</f>
        <v>82.876800000000017</v>
      </c>
      <c r="O4" s="46">
        <f t="shared" si="3"/>
        <v>66.438400000000001</v>
      </c>
      <c r="P4" s="55">
        <f t="shared" ref="P4:P10" si="8">O4/0.7</f>
        <v>94.912000000000006</v>
      </c>
      <c r="R4" s="121">
        <v>53</v>
      </c>
      <c r="S4" s="127">
        <f t="shared" ref="S4:S10" si="9">1-R4/I4</f>
        <v>0.41111111111111109</v>
      </c>
      <c r="T4"/>
    </row>
    <row r="5" spans="1:35">
      <c r="A5" s="54" t="s">
        <v>127</v>
      </c>
      <c r="B5" s="46">
        <f t="shared" si="0"/>
        <v>18.641999999999999</v>
      </c>
      <c r="C5" s="46">
        <f t="shared" si="0"/>
        <v>22.3704</v>
      </c>
      <c r="D5" s="46">
        <f t="shared" si="1"/>
        <v>13.555999999999999</v>
      </c>
      <c r="E5" s="46">
        <v>2.8</v>
      </c>
      <c r="F5" s="55">
        <f>B5+D5+E5</f>
        <v>34.997999999999998</v>
      </c>
      <c r="G5" s="55">
        <f>C5</f>
        <v>22.3704</v>
      </c>
      <c r="H5" s="55">
        <v>5</v>
      </c>
      <c r="I5" s="121">
        <v>100</v>
      </c>
      <c r="J5" s="46">
        <f t="shared" si="2"/>
        <v>41.997599999999998</v>
      </c>
      <c r="K5" s="46">
        <f t="shared" si="2"/>
        <v>26.844480000000001</v>
      </c>
      <c r="L5" s="46">
        <f t="shared" si="2"/>
        <v>6</v>
      </c>
      <c r="M5" s="46">
        <f t="shared" si="6"/>
        <v>25.157920000000001</v>
      </c>
      <c r="N5" s="55">
        <f t="shared" si="7"/>
        <v>50.315840000000001</v>
      </c>
      <c r="O5" s="46">
        <f t="shared" si="3"/>
        <v>70.15791999999999</v>
      </c>
      <c r="P5" s="55">
        <f>O5/0.7</f>
        <v>100.22559999999999</v>
      </c>
      <c r="R5" s="121">
        <v>56</v>
      </c>
      <c r="S5" s="127">
        <f t="shared" si="9"/>
        <v>0.43999999999999995</v>
      </c>
      <c r="T5"/>
    </row>
    <row r="6" spans="1:35" ht="15" customHeight="1">
      <c r="A6" s="54" t="s">
        <v>128</v>
      </c>
      <c r="B6" s="46">
        <f t="shared" si="0"/>
        <v>77.272999999999996</v>
      </c>
      <c r="C6" s="46">
        <f t="shared" si="0"/>
        <v>4.0670000000000002</v>
      </c>
      <c r="D6" s="46">
        <f t="shared" si="1"/>
        <v>18.771999999999998</v>
      </c>
      <c r="E6" s="46">
        <v>2.8</v>
      </c>
      <c r="F6" s="55">
        <f t="shared" si="4"/>
        <v>98.844999999999985</v>
      </c>
      <c r="G6" s="55">
        <f t="shared" si="5"/>
        <v>4.0670000000000002</v>
      </c>
      <c r="H6" s="55">
        <v>5</v>
      </c>
      <c r="I6" s="121">
        <v>135</v>
      </c>
      <c r="J6" s="46">
        <f t="shared" si="2"/>
        <v>118.61399999999998</v>
      </c>
      <c r="K6" s="46">
        <f t="shared" si="2"/>
        <v>4.8803999999999998</v>
      </c>
      <c r="L6" s="46">
        <f t="shared" si="2"/>
        <v>6</v>
      </c>
      <c r="M6" s="46">
        <f t="shared" si="6"/>
        <v>5.5056000000000243</v>
      </c>
      <c r="N6" s="55">
        <f t="shared" si="7"/>
        <v>11.011200000000049</v>
      </c>
      <c r="O6" s="46">
        <f t="shared" si="3"/>
        <v>75.50560000000003</v>
      </c>
      <c r="P6" s="55">
        <f t="shared" si="8"/>
        <v>107.8651428571429</v>
      </c>
      <c r="R6" s="121">
        <v>63</v>
      </c>
      <c r="S6" s="127">
        <f t="shared" si="9"/>
        <v>0.53333333333333333</v>
      </c>
      <c r="T6"/>
    </row>
    <row r="7" spans="1:35" ht="15" customHeight="1">
      <c r="A7" s="54" t="s">
        <v>129</v>
      </c>
      <c r="B7" s="46">
        <f t="shared" ref="B7:C10" si="10">L22</f>
        <v>28.908000000000001</v>
      </c>
      <c r="C7" s="46">
        <f t="shared" si="10"/>
        <v>10.512</v>
      </c>
      <c r="D7" s="46">
        <f>P22*F22*2/1000</f>
        <v>35.04</v>
      </c>
      <c r="E7" s="46">
        <v>2.8</v>
      </c>
      <c r="F7" s="55">
        <f t="shared" si="4"/>
        <v>66.748000000000005</v>
      </c>
      <c r="G7" s="55">
        <f t="shared" si="5"/>
        <v>10.512</v>
      </c>
      <c r="H7" s="55">
        <v>5</v>
      </c>
      <c r="I7" s="121">
        <v>160</v>
      </c>
      <c r="J7" s="46">
        <f t="shared" si="2"/>
        <v>80.0976</v>
      </c>
      <c r="K7" s="46">
        <f t="shared" si="2"/>
        <v>12.6144</v>
      </c>
      <c r="L7" s="46">
        <f t="shared" si="2"/>
        <v>6</v>
      </c>
      <c r="M7" s="46">
        <f t="shared" si="6"/>
        <v>61.287999999999997</v>
      </c>
      <c r="N7" s="55">
        <f t="shared" si="7"/>
        <v>122.57599999999999</v>
      </c>
      <c r="O7" s="46">
        <f>(W22+X22)/2-J7-K7-L7</f>
        <v>106.288</v>
      </c>
      <c r="P7" s="55">
        <f t="shared" si="8"/>
        <v>151.84</v>
      </c>
      <c r="R7" s="121">
        <v>63</v>
      </c>
      <c r="S7" s="127">
        <f t="shared" si="9"/>
        <v>0.60624999999999996</v>
      </c>
      <c r="T7"/>
    </row>
    <row r="8" spans="1:35" ht="15" customHeight="1">
      <c r="A8" s="54" t="s">
        <v>31</v>
      </c>
      <c r="B8" s="46">
        <f t="shared" si="10"/>
        <v>17.522399999999998</v>
      </c>
      <c r="C8" s="46">
        <f t="shared" si="10"/>
        <v>10.012799999999999</v>
      </c>
      <c r="D8" s="46">
        <f>P23*F23*2/1000</f>
        <v>15.641999999999999</v>
      </c>
      <c r="E8" s="46">
        <v>2.8</v>
      </c>
      <c r="F8" s="55">
        <f>B8+D8+E8</f>
        <v>35.964399999999998</v>
      </c>
      <c r="G8" s="55">
        <f t="shared" si="5"/>
        <v>10.012799999999999</v>
      </c>
      <c r="H8" s="55">
        <v>0</v>
      </c>
      <c r="I8" s="121">
        <v>100</v>
      </c>
      <c r="J8" s="46">
        <f t="shared" si="2"/>
        <v>43.157279999999993</v>
      </c>
      <c r="K8" s="46">
        <f t="shared" si="2"/>
        <v>12.015359999999998</v>
      </c>
      <c r="L8" s="46">
        <f t="shared" si="2"/>
        <v>0</v>
      </c>
      <c r="M8" s="46">
        <f t="shared" si="6"/>
        <v>44.827360000000013</v>
      </c>
      <c r="N8" s="55">
        <f t="shared" si="7"/>
        <v>89.654720000000026</v>
      </c>
      <c r="O8" s="46">
        <f>(W23+X23)/2-J8-K8-L8</f>
        <v>94.827360000000013</v>
      </c>
      <c r="P8" s="55">
        <f t="shared" si="8"/>
        <v>135.46765714285718</v>
      </c>
      <c r="R8" s="121">
        <v>63</v>
      </c>
      <c r="S8" s="127">
        <f t="shared" si="9"/>
        <v>0.37</v>
      </c>
      <c r="T8"/>
    </row>
    <row r="9" spans="1:35">
      <c r="A9" s="54" t="s">
        <v>130</v>
      </c>
      <c r="B9" s="46">
        <f t="shared" si="10"/>
        <v>25.55</v>
      </c>
      <c r="C9" s="46">
        <f t="shared" si="10"/>
        <v>0</v>
      </c>
      <c r="D9" s="46">
        <f>P24*F24*2/1000</f>
        <v>23.36</v>
      </c>
      <c r="E9" s="46">
        <v>2.8</v>
      </c>
      <c r="F9" s="55">
        <f t="shared" si="4"/>
        <v>51.709999999999994</v>
      </c>
      <c r="G9" s="55">
        <f t="shared" si="5"/>
        <v>0</v>
      </c>
      <c r="H9" s="55">
        <v>0</v>
      </c>
      <c r="I9" s="121">
        <v>100</v>
      </c>
      <c r="J9" s="46">
        <f t="shared" si="2"/>
        <v>62.051999999999992</v>
      </c>
      <c r="K9" s="46">
        <f t="shared" si="2"/>
        <v>0</v>
      </c>
      <c r="L9" s="46">
        <f t="shared" si="2"/>
        <v>0</v>
      </c>
      <c r="M9" s="46">
        <f t="shared" si="6"/>
        <v>37.948000000000008</v>
      </c>
      <c r="N9" s="55">
        <f t="shared" si="7"/>
        <v>75.896000000000015</v>
      </c>
      <c r="O9" s="46">
        <f>(W24+X24)/2-J9-K9-L9</f>
        <v>87.948000000000008</v>
      </c>
      <c r="P9" s="55">
        <f t="shared" si="8"/>
        <v>125.64000000000001</v>
      </c>
      <c r="R9" s="121">
        <v>63</v>
      </c>
      <c r="S9" s="127">
        <f t="shared" si="9"/>
        <v>0.37</v>
      </c>
      <c r="T9"/>
    </row>
    <row r="10" spans="1:35" s="56" customFormat="1" ht="15.75" thickBot="1">
      <c r="A10" s="54" t="s">
        <v>131</v>
      </c>
      <c r="B10" s="46">
        <f t="shared" si="10"/>
        <v>36.792000000000002</v>
      </c>
      <c r="C10" s="46">
        <f t="shared" si="10"/>
        <v>47.304000000000002</v>
      </c>
      <c r="D10" s="46">
        <f>P25*F25*2/1000</f>
        <v>70.08</v>
      </c>
      <c r="E10" s="46">
        <v>2.8</v>
      </c>
      <c r="F10" s="55">
        <f t="shared" si="4"/>
        <v>109.672</v>
      </c>
      <c r="G10" s="55">
        <f t="shared" si="5"/>
        <v>47.304000000000002</v>
      </c>
      <c r="H10" s="55">
        <v>10</v>
      </c>
      <c r="I10" s="121">
        <v>320</v>
      </c>
      <c r="J10" s="46">
        <f t="shared" si="2"/>
        <v>131.60639999999998</v>
      </c>
      <c r="K10" s="46">
        <f t="shared" si="2"/>
        <v>56.764800000000001</v>
      </c>
      <c r="L10" s="46">
        <f t="shared" si="2"/>
        <v>12</v>
      </c>
      <c r="M10" s="46">
        <f t="shared" si="6"/>
        <v>119.62880000000001</v>
      </c>
      <c r="N10" s="55">
        <f t="shared" si="7"/>
        <v>239.25760000000002</v>
      </c>
      <c r="O10" s="46">
        <f>(W25+X25)/2-J10-K10-L10</f>
        <v>199.62879999999998</v>
      </c>
      <c r="P10" s="55">
        <f t="shared" si="8"/>
        <v>285.18399999999997</v>
      </c>
      <c r="R10" s="121">
        <v>105</v>
      </c>
      <c r="S10" s="127">
        <f t="shared" si="9"/>
        <v>0.671875</v>
      </c>
    </row>
    <row r="11" spans="1:35" s="56" customFormat="1" ht="15.75" thickBot="1">
      <c r="A11" s="118" t="str">
        <f>'CO2 laskenta'!$B$5</f>
        <v>Opetusrakennus ja päiväkoti</v>
      </c>
      <c r="B11" s="119">
        <f t="shared" ref="B11:P11" ca="1" si="11">OFFSET(B2,MATCH($A$11,$A$3:$A$10,0),0)</f>
        <v>17.522399999999998</v>
      </c>
      <c r="C11" s="119">
        <f t="shared" ca="1" si="11"/>
        <v>10.012799999999999</v>
      </c>
      <c r="D11" s="119">
        <f t="shared" ca="1" si="11"/>
        <v>15.641999999999999</v>
      </c>
      <c r="E11" s="119">
        <f t="shared" ca="1" si="11"/>
        <v>2.8</v>
      </c>
      <c r="F11" s="119">
        <f t="shared" ca="1" si="11"/>
        <v>35.964399999999998</v>
      </c>
      <c r="G11" s="119">
        <f t="shared" ca="1" si="11"/>
        <v>10.012799999999999</v>
      </c>
      <c r="H11" s="119">
        <f t="shared" ca="1" si="11"/>
        <v>0</v>
      </c>
      <c r="I11" s="119">
        <f t="shared" ca="1" si="11"/>
        <v>100</v>
      </c>
      <c r="J11" s="119">
        <f t="shared" ca="1" si="11"/>
        <v>43.157279999999993</v>
      </c>
      <c r="K11" s="119">
        <f t="shared" ca="1" si="11"/>
        <v>12.015359999999998</v>
      </c>
      <c r="L11" s="119">
        <f t="shared" ca="1" si="11"/>
        <v>0</v>
      </c>
      <c r="M11" s="119">
        <f t="shared" ca="1" si="11"/>
        <v>44.827360000000013</v>
      </c>
      <c r="N11" s="119">
        <f t="shared" ca="1" si="11"/>
        <v>89.654720000000026</v>
      </c>
      <c r="O11" s="119">
        <f t="shared" ca="1" si="11"/>
        <v>94.827360000000013</v>
      </c>
      <c r="P11" s="120">
        <f t="shared" ca="1" si="11"/>
        <v>135.46765714285718</v>
      </c>
      <c r="R11" s="119">
        <f ca="1">OFFSET(R2,MATCH($A$11,$A$3:$A$10,0),0)</f>
        <v>63</v>
      </c>
    </row>
    <row r="12" spans="1:35">
      <c r="A12" s="48"/>
      <c r="B12" s="48"/>
      <c r="C12" s="48"/>
      <c r="D12" s="57"/>
      <c r="E12" s="57"/>
      <c r="F12" s="57"/>
      <c r="G12" s="57"/>
      <c r="H12" s="57"/>
      <c r="I12" s="57"/>
      <c r="J12" s="57"/>
      <c r="K12" s="57"/>
      <c r="L12" s="57"/>
      <c r="M12" s="57"/>
      <c r="N12" s="57"/>
      <c r="O12" s="57"/>
      <c r="P12" s="57"/>
      <c r="Q12" s="57"/>
      <c r="R12" s="50"/>
      <c r="S12" s="3"/>
      <c r="T12"/>
    </row>
    <row r="13" spans="1:35">
      <c r="A13" s="24"/>
      <c r="B13" s="25"/>
      <c r="C13" s="24"/>
      <c r="D13" s="26"/>
      <c r="E13" s="26"/>
      <c r="F13" s="26"/>
      <c r="G13" s="26"/>
      <c r="H13" s="26"/>
      <c r="I13" s="26"/>
      <c r="J13" s="26"/>
      <c r="K13" s="26"/>
      <c r="L13" s="26"/>
      <c r="M13" s="26"/>
      <c r="N13" s="26"/>
      <c r="O13" s="26"/>
      <c r="P13" s="26"/>
      <c r="Q13" s="26"/>
      <c r="R13" s="26"/>
      <c r="S13" s="27"/>
    </row>
    <row r="14" spans="1:35">
      <c r="A14" s="28">
        <v>1</v>
      </c>
      <c r="B14" s="28">
        <v>2</v>
      </c>
      <c r="C14" s="28">
        <v>3</v>
      </c>
      <c r="D14" s="28">
        <v>4</v>
      </c>
      <c r="E14" s="28">
        <v>5</v>
      </c>
      <c r="F14" s="28">
        <v>6</v>
      </c>
      <c r="G14" s="28">
        <v>7</v>
      </c>
      <c r="H14" s="28">
        <v>8</v>
      </c>
      <c r="I14" s="28">
        <v>9</v>
      </c>
      <c r="J14" s="28">
        <v>10</v>
      </c>
      <c r="K14" s="28">
        <v>11</v>
      </c>
      <c r="L14" s="28">
        <v>12</v>
      </c>
      <c r="M14" s="28">
        <v>13</v>
      </c>
      <c r="N14" s="28">
        <v>14</v>
      </c>
      <c r="O14" s="28">
        <v>15</v>
      </c>
      <c r="P14" s="28">
        <v>16</v>
      </c>
      <c r="Q14" s="28">
        <v>17</v>
      </c>
      <c r="R14" s="28">
        <v>18</v>
      </c>
      <c r="S14" s="28">
        <v>19</v>
      </c>
      <c r="T14" s="28">
        <v>20</v>
      </c>
      <c r="U14" s="28">
        <v>21</v>
      </c>
      <c r="V14" s="28">
        <v>22</v>
      </c>
      <c r="W14" s="28">
        <v>23</v>
      </c>
      <c r="X14" s="28">
        <v>24</v>
      </c>
      <c r="Y14" s="28">
        <v>25</v>
      </c>
      <c r="Z14" s="28">
        <v>26</v>
      </c>
      <c r="AA14" s="28">
        <v>27</v>
      </c>
      <c r="AB14" s="28">
        <v>28</v>
      </c>
      <c r="AF14" s="28"/>
      <c r="AG14" s="28"/>
      <c r="AH14" s="28"/>
      <c r="AI14" s="28"/>
    </row>
    <row r="15" spans="1:35">
      <c r="C15" s="28"/>
      <c r="D15" s="28"/>
      <c r="E15" s="28"/>
      <c r="F15" s="28"/>
      <c r="G15" s="28"/>
      <c r="H15" s="28"/>
      <c r="I15" s="28"/>
      <c r="J15" s="29" t="s">
        <v>132</v>
      </c>
      <c r="K15" s="28"/>
      <c r="L15" s="232" t="s">
        <v>133</v>
      </c>
      <c r="M15" s="233"/>
      <c r="N15" s="233"/>
      <c r="O15" s="30"/>
      <c r="P15" s="31" t="s">
        <v>134</v>
      </c>
      <c r="Q15" s="29"/>
      <c r="R15" s="30"/>
      <c r="S15" s="32" t="s">
        <v>135</v>
      </c>
      <c r="T15" s="29"/>
      <c r="U15" s="30" t="s">
        <v>73</v>
      </c>
      <c r="V15" s="29" t="s">
        <v>136</v>
      </c>
      <c r="W15" s="29" t="s">
        <v>137</v>
      </c>
      <c r="X15" s="29" t="s">
        <v>138</v>
      </c>
      <c r="Y15" s="29" t="s">
        <v>139</v>
      </c>
      <c r="Z15" s="29" t="s">
        <v>140</v>
      </c>
      <c r="AA15" s="31"/>
    </row>
    <row r="16" spans="1:35" ht="18" customHeight="1">
      <c r="A16" s="33" t="s">
        <v>141</v>
      </c>
      <c r="B16" s="29" t="s">
        <v>142</v>
      </c>
      <c r="C16" s="233" t="s">
        <v>143</v>
      </c>
      <c r="D16" s="233"/>
      <c r="E16" s="233"/>
      <c r="F16" s="29" t="s">
        <v>144</v>
      </c>
      <c r="G16" s="29" t="s">
        <v>145</v>
      </c>
      <c r="H16" s="29" t="s">
        <v>146</v>
      </c>
      <c r="I16" s="29" t="s">
        <v>147</v>
      </c>
      <c r="J16" s="29" t="s">
        <v>148</v>
      </c>
      <c r="K16" s="29" t="s">
        <v>149</v>
      </c>
      <c r="L16" s="31" t="s">
        <v>147</v>
      </c>
      <c r="M16" s="29" t="s">
        <v>148</v>
      </c>
      <c r="N16" s="29" t="s">
        <v>149</v>
      </c>
      <c r="O16" s="30" t="s">
        <v>150</v>
      </c>
      <c r="P16" s="31" t="s">
        <v>151</v>
      </c>
      <c r="Q16" s="34" t="s">
        <v>152</v>
      </c>
      <c r="R16" s="35" t="s">
        <v>153</v>
      </c>
      <c r="S16" s="31" t="s">
        <v>154</v>
      </c>
      <c r="T16" s="34" t="s">
        <v>155</v>
      </c>
      <c r="U16" s="35" t="s">
        <v>156</v>
      </c>
      <c r="V16" s="34"/>
      <c r="W16" s="34"/>
      <c r="X16" s="34"/>
      <c r="Y16" s="34"/>
      <c r="Z16" s="34"/>
      <c r="AA16" s="31" t="s">
        <v>157</v>
      </c>
      <c r="AB16" s="34" t="s">
        <v>158</v>
      </c>
    </row>
    <row r="17" spans="1:28">
      <c r="A17" s="23"/>
      <c r="B17" s="36"/>
      <c r="C17" s="36" t="s">
        <v>159</v>
      </c>
      <c r="D17" s="36" t="s">
        <v>160</v>
      </c>
      <c r="E17" s="36"/>
      <c r="F17" s="36"/>
      <c r="G17" s="36" t="s">
        <v>161</v>
      </c>
      <c r="H17" s="36"/>
      <c r="I17" s="36" t="s">
        <v>162</v>
      </c>
      <c r="J17" s="36" t="s">
        <v>162</v>
      </c>
      <c r="K17" s="36" t="s">
        <v>162</v>
      </c>
      <c r="L17" s="37" t="s">
        <v>163</v>
      </c>
      <c r="M17" s="38" t="s">
        <v>163</v>
      </c>
      <c r="N17" s="38" t="s">
        <v>163</v>
      </c>
      <c r="O17" s="39" t="s">
        <v>163</v>
      </c>
      <c r="P17" s="37" t="s">
        <v>164</v>
      </c>
      <c r="Q17" s="37" t="s">
        <v>164</v>
      </c>
      <c r="R17" s="40" t="s">
        <v>165</v>
      </c>
      <c r="S17" s="38" t="s">
        <v>166</v>
      </c>
      <c r="T17" s="38" t="s">
        <v>167</v>
      </c>
      <c r="AA17" s="41"/>
      <c r="AB17" s="3" t="s">
        <v>168</v>
      </c>
    </row>
    <row r="18" spans="1:28">
      <c r="A18" s="23" t="s">
        <v>169</v>
      </c>
      <c r="B18" s="3" t="s">
        <v>170</v>
      </c>
      <c r="C18" s="3">
        <v>24</v>
      </c>
      <c r="D18" s="3">
        <v>7</v>
      </c>
      <c r="E18" s="3">
        <f>ROUND(C18*D18*52.143,0)</f>
        <v>8760</v>
      </c>
      <c r="F18" s="43">
        <f>E18</f>
        <v>8760</v>
      </c>
      <c r="G18" s="3">
        <v>0.6</v>
      </c>
      <c r="H18" s="43">
        <f t="shared" ref="H18:H25" si="12">G18*E18</f>
        <v>5256</v>
      </c>
      <c r="I18" s="122">
        <v>6</v>
      </c>
      <c r="J18" s="3">
        <v>3</v>
      </c>
      <c r="K18" s="3">
        <v>2</v>
      </c>
      <c r="L18" s="44">
        <f>F18*I18/1000*0.1</f>
        <v>5.2560000000000002</v>
      </c>
      <c r="M18" s="44">
        <f t="shared" ref="M18:N25" si="13">$H18*J18/1000</f>
        <v>15.768000000000001</v>
      </c>
      <c r="N18" s="44">
        <f t="shared" si="13"/>
        <v>10.512</v>
      </c>
      <c r="O18" s="45">
        <f>SUM(L18:N18)</f>
        <v>31.536000000000001</v>
      </c>
      <c r="P18" s="46">
        <v>0.4</v>
      </c>
      <c r="Q18" s="47"/>
      <c r="R18" s="45">
        <f>C18*D18*P18+(24*7-C18*D18)*Q18</f>
        <v>67.2</v>
      </c>
      <c r="S18" s="130">
        <f>T18/58*1000</f>
        <v>603.44827586206895</v>
      </c>
      <c r="T18" s="3">
        <v>35</v>
      </c>
      <c r="U18" t="s">
        <v>171</v>
      </c>
      <c r="V18">
        <v>80</v>
      </c>
      <c r="W18">
        <v>110</v>
      </c>
      <c r="X18">
        <v>150</v>
      </c>
      <c r="Y18">
        <v>210</v>
      </c>
      <c r="Z18">
        <v>340</v>
      </c>
      <c r="AA18" s="41">
        <v>0.96</v>
      </c>
      <c r="AB18">
        <v>4.2999999999999997E-2</v>
      </c>
    </row>
    <row r="19" spans="1:28">
      <c r="A19" s="23" t="s">
        <v>126</v>
      </c>
      <c r="B19" s="3" t="s">
        <v>170</v>
      </c>
      <c r="C19" s="3">
        <v>24</v>
      </c>
      <c r="D19" s="3">
        <v>7</v>
      </c>
      <c r="E19" s="3">
        <f t="shared" ref="E19:E25" si="14">ROUND(C19*D19*52.143,0)</f>
        <v>8760</v>
      </c>
      <c r="F19" s="43">
        <f>E19</f>
        <v>8760</v>
      </c>
      <c r="G19" s="3">
        <v>0.6</v>
      </c>
      <c r="H19" s="43">
        <f t="shared" si="12"/>
        <v>5256</v>
      </c>
      <c r="I19" s="122">
        <v>9</v>
      </c>
      <c r="J19" s="3">
        <v>4</v>
      </c>
      <c r="K19" s="3">
        <v>3</v>
      </c>
      <c r="L19" s="44">
        <f>F19*I19/1000*0.1</f>
        <v>7.8840000000000003</v>
      </c>
      <c r="M19" s="44">
        <f t="shared" si="13"/>
        <v>21.024000000000001</v>
      </c>
      <c r="N19" s="44">
        <f t="shared" si="13"/>
        <v>15.768000000000001</v>
      </c>
      <c r="O19" s="45">
        <f t="shared" ref="O19:O25" si="15">SUM(L19:N19)</f>
        <v>44.676000000000002</v>
      </c>
      <c r="P19" s="46">
        <v>0.5</v>
      </c>
      <c r="Q19" s="43"/>
      <c r="R19" s="45">
        <f t="shared" ref="R19:R25" si="16">C19*D19*P19+(24*7-C19*D19)*Q19</f>
        <v>84</v>
      </c>
      <c r="S19" s="130">
        <f t="shared" ref="S19:S25" si="17">T19/58*1000</f>
        <v>603.44827586206895</v>
      </c>
      <c r="T19" s="3">
        <v>35</v>
      </c>
      <c r="U19">
        <v>130</v>
      </c>
      <c r="V19">
        <v>75</v>
      </c>
      <c r="W19">
        <v>100</v>
      </c>
      <c r="X19">
        <v>130</v>
      </c>
      <c r="Y19">
        <v>160</v>
      </c>
      <c r="Z19">
        <v>190</v>
      </c>
      <c r="AA19" s="41">
        <v>0.97</v>
      </c>
      <c r="AB19">
        <v>4.2999999999999997E-2</v>
      </c>
    </row>
    <row r="20" spans="1:28">
      <c r="A20" s="23" t="s">
        <v>127</v>
      </c>
      <c r="B20" s="3" t="s">
        <v>172</v>
      </c>
      <c r="C20" s="3">
        <v>11</v>
      </c>
      <c r="D20" s="3">
        <v>5</v>
      </c>
      <c r="E20" s="3">
        <f t="shared" si="14"/>
        <v>2868</v>
      </c>
      <c r="F20" s="43">
        <f>ROUND((C20+2)*D20*52.143,0)</f>
        <v>3389</v>
      </c>
      <c r="G20" s="3">
        <v>0.65</v>
      </c>
      <c r="H20" s="43">
        <f>G20*E20</f>
        <v>1864.2</v>
      </c>
      <c r="I20" s="122">
        <v>10</v>
      </c>
      <c r="J20" s="3">
        <v>12</v>
      </c>
      <c r="K20" s="3">
        <v>5</v>
      </c>
      <c r="L20" s="44">
        <f>$H20*I20/1000</f>
        <v>18.641999999999999</v>
      </c>
      <c r="M20" s="44">
        <f t="shared" si="13"/>
        <v>22.3704</v>
      </c>
      <c r="N20" s="44">
        <f t="shared" si="13"/>
        <v>9.3209999999999997</v>
      </c>
      <c r="O20" s="45">
        <f t="shared" si="15"/>
        <v>50.333399999999997</v>
      </c>
      <c r="P20" s="44">
        <v>2</v>
      </c>
      <c r="Q20" s="49">
        <v>0.15</v>
      </c>
      <c r="R20" s="45">
        <f>C20*D20*P20+(24*7-C20*D20)*Q20</f>
        <v>126.95</v>
      </c>
      <c r="S20" s="130">
        <f t="shared" si="17"/>
        <v>103.44827586206897</v>
      </c>
      <c r="T20" s="3">
        <v>6</v>
      </c>
      <c r="U20">
        <v>170</v>
      </c>
      <c r="V20">
        <v>80</v>
      </c>
      <c r="W20">
        <v>120</v>
      </c>
      <c r="X20">
        <v>170</v>
      </c>
      <c r="Y20">
        <v>200</v>
      </c>
      <c r="Z20">
        <v>240</v>
      </c>
      <c r="AA20" s="41">
        <v>0.88</v>
      </c>
      <c r="AB20">
        <v>0.02</v>
      </c>
    </row>
    <row r="21" spans="1:28">
      <c r="A21" s="23" t="s">
        <v>128</v>
      </c>
      <c r="B21" s="3" t="s">
        <v>173</v>
      </c>
      <c r="C21" s="3">
        <v>13</v>
      </c>
      <c r="D21" s="3">
        <v>6</v>
      </c>
      <c r="E21" s="3">
        <f t="shared" si="14"/>
        <v>4067</v>
      </c>
      <c r="F21" s="43">
        <f t="shared" ref="F21:F24" si="18">ROUND((C21+2)*D21*52.143,0)</f>
        <v>4693</v>
      </c>
      <c r="G21" s="3">
        <v>1</v>
      </c>
      <c r="H21" s="43">
        <f t="shared" si="12"/>
        <v>4067</v>
      </c>
      <c r="I21" s="122">
        <v>19</v>
      </c>
      <c r="J21" s="3">
        <v>1</v>
      </c>
      <c r="K21" s="3">
        <v>2</v>
      </c>
      <c r="L21" s="44">
        <f t="shared" ref="L21:L25" si="19">$H21*I21/1000</f>
        <v>77.272999999999996</v>
      </c>
      <c r="M21" s="44">
        <f t="shared" si="13"/>
        <v>4.0670000000000002</v>
      </c>
      <c r="N21" s="44">
        <f t="shared" si="13"/>
        <v>8.1340000000000003</v>
      </c>
      <c r="O21" s="45">
        <f t="shared" si="15"/>
        <v>89.474000000000004</v>
      </c>
      <c r="P21" s="44">
        <v>2</v>
      </c>
      <c r="Q21" s="49">
        <v>0.15</v>
      </c>
      <c r="R21" s="45">
        <f t="shared" si="16"/>
        <v>169.5</v>
      </c>
      <c r="S21" s="130">
        <f t="shared" si="17"/>
        <v>68.965517241379303</v>
      </c>
      <c r="T21" s="3">
        <v>4</v>
      </c>
      <c r="U21">
        <v>240</v>
      </c>
      <c r="V21">
        <v>90</v>
      </c>
      <c r="W21">
        <v>170</v>
      </c>
      <c r="X21">
        <v>240</v>
      </c>
      <c r="Y21">
        <v>280</v>
      </c>
      <c r="Z21">
        <v>340</v>
      </c>
      <c r="AA21" s="41">
        <v>0.87</v>
      </c>
      <c r="AB21">
        <v>0.02</v>
      </c>
    </row>
    <row r="22" spans="1:28">
      <c r="A22" s="23" t="s">
        <v>129</v>
      </c>
      <c r="B22" s="3" t="s">
        <v>170</v>
      </c>
      <c r="C22" s="3">
        <v>24</v>
      </c>
      <c r="D22" s="3">
        <v>7</v>
      </c>
      <c r="E22" s="3">
        <f t="shared" si="14"/>
        <v>8760</v>
      </c>
      <c r="F22" s="43">
        <f>E22</f>
        <v>8760</v>
      </c>
      <c r="G22" s="3">
        <v>0.3</v>
      </c>
      <c r="H22" s="43">
        <f t="shared" si="12"/>
        <v>2628</v>
      </c>
      <c r="I22" s="122">
        <v>11</v>
      </c>
      <c r="J22" s="3">
        <v>4</v>
      </c>
      <c r="K22" s="3">
        <v>4</v>
      </c>
      <c r="L22" s="44">
        <f t="shared" si="19"/>
        <v>28.908000000000001</v>
      </c>
      <c r="M22" s="44">
        <f t="shared" si="13"/>
        <v>10.512</v>
      </c>
      <c r="N22" s="44">
        <f>$H22*K22/1000</f>
        <v>10.512</v>
      </c>
      <c r="O22" s="45">
        <f t="shared" si="15"/>
        <v>49.932000000000002</v>
      </c>
      <c r="P22" s="44">
        <v>2</v>
      </c>
      <c r="Q22" s="49">
        <v>0.15</v>
      </c>
      <c r="R22" s="45">
        <f>C22*D22*P22+(24*7-C22*D22)*Q22</f>
        <v>336</v>
      </c>
      <c r="S22" s="130">
        <f t="shared" si="17"/>
        <v>689.65517241379314</v>
      </c>
      <c r="T22" s="3">
        <v>40</v>
      </c>
      <c r="U22">
        <v>240</v>
      </c>
      <c r="V22">
        <v>90</v>
      </c>
      <c r="W22">
        <v>170</v>
      </c>
      <c r="X22">
        <v>240</v>
      </c>
      <c r="Y22">
        <v>280</v>
      </c>
      <c r="Z22">
        <v>340</v>
      </c>
      <c r="AA22" s="41">
        <v>0.97</v>
      </c>
      <c r="AB22">
        <v>4.2999999999999997E-2</v>
      </c>
    </row>
    <row r="23" spans="1:28">
      <c r="A23" s="23" t="s">
        <v>31</v>
      </c>
      <c r="B23" s="3" t="s">
        <v>174</v>
      </c>
      <c r="C23" s="3">
        <v>8</v>
      </c>
      <c r="D23" s="3">
        <v>5</v>
      </c>
      <c r="E23" s="3">
        <f t="shared" si="14"/>
        <v>2086</v>
      </c>
      <c r="F23" s="43">
        <f>ROUND((C23+2)*D23*52.143,0)</f>
        <v>2607</v>
      </c>
      <c r="G23" s="3">
        <v>0.6</v>
      </c>
      <c r="H23" s="43">
        <f t="shared" si="12"/>
        <v>1251.5999999999999</v>
      </c>
      <c r="I23" s="122">
        <v>14</v>
      </c>
      <c r="J23" s="3">
        <v>8</v>
      </c>
      <c r="K23" s="3">
        <v>14</v>
      </c>
      <c r="L23" s="44">
        <f t="shared" si="19"/>
        <v>17.522399999999998</v>
      </c>
      <c r="M23" s="44">
        <f t="shared" si="13"/>
        <v>10.012799999999999</v>
      </c>
      <c r="N23" s="44">
        <f>$H23*K23/1000</f>
        <v>17.522399999999998</v>
      </c>
      <c r="O23" s="45">
        <f>SUM(L23:N23)</f>
        <v>45.057599999999994</v>
      </c>
      <c r="P23" s="44">
        <v>3</v>
      </c>
      <c r="Q23" s="49">
        <v>0.15</v>
      </c>
      <c r="R23" s="45">
        <f>C23*D23*P23+(24*7-C23*D23)*Q23</f>
        <v>139.19999999999999</v>
      </c>
      <c r="S23" s="130">
        <f t="shared" si="17"/>
        <v>189.65517241379308</v>
      </c>
      <c r="T23" s="3">
        <v>11</v>
      </c>
      <c r="U23">
        <v>170</v>
      </c>
      <c r="V23">
        <v>90</v>
      </c>
      <c r="W23">
        <v>130</v>
      </c>
      <c r="X23">
        <v>170</v>
      </c>
      <c r="Y23">
        <v>230</v>
      </c>
      <c r="Z23">
        <v>300</v>
      </c>
      <c r="AA23" s="41">
        <v>0.89</v>
      </c>
      <c r="AB23">
        <v>0.02</v>
      </c>
    </row>
    <row r="24" spans="1:28">
      <c r="A24" s="23" t="s">
        <v>130</v>
      </c>
      <c r="B24" s="3" t="s">
        <v>175</v>
      </c>
      <c r="C24" s="3">
        <v>14</v>
      </c>
      <c r="D24" s="3">
        <v>7</v>
      </c>
      <c r="E24" s="3">
        <f t="shared" si="14"/>
        <v>5110</v>
      </c>
      <c r="F24" s="43">
        <f t="shared" si="18"/>
        <v>5840</v>
      </c>
      <c r="G24" s="3">
        <v>0.5</v>
      </c>
      <c r="H24" s="43">
        <f t="shared" si="12"/>
        <v>2555</v>
      </c>
      <c r="I24" s="122">
        <v>10</v>
      </c>
      <c r="J24" s="3">
        <v>0</v>
      </c>
      <c r="K24" s="3">
        <v>5</v>
      </c>
      <c r="L24" s="44">
        <f t="shared" si="19"/>
        <v>25.55</v>
      </c>
      <c r="M24" s="44">
        <f t="shared" si="13"/>
        <v>0</v>
      </c>
      <c r="N24" s="44">
        <f>$H24*K24/1000</f>
        <v>12.775</v>
      </c>
      <c r="O24" s="45">
        <f t="shared" si="15"/>
        <v>38.325000000000003</v>
      </c>
      <c r="P24" s="44">
        <v>2</v>
      </c>
      <c r="Q24" s="49">
        <v>0.15</v>
      </c>
      <c r="R24" s="45">
        <f t="shared" si="16"/>
        <v>206.5</v>
      </c>
      <c r="S24" s="130">
        <f t="shared" si="17"/>
        <v>344.82758620689657</v>
      </c>
      <c r="T24" s="3">
        <v>20</v>
      </c>
      <c r="U24">
        <v>170</v>
      </c>
      <c r="V24">
        <v>90</v>
      </c>
      <c r="W24">
        <v>130</v>
      </c>
      <c r="X24">
        <v>170</v>
      </c>
      <c r="Y24">
        <v>190</v>
      </c>
      <c r="Z24">
        <v>240</v>
      </c>
      <c r="AA24" s="41">
        <v>0.98</v>
      </c>
      <c r="AB24">
        <v>0.02</v>
      </c>
    </row>
    <row r="25" spans="1:28">
      <c r="A25" s="23" t="s">
        <v>131</v>
      </c>
      <c r="B25" s="3" t="s">
        <v>170</v>
      </c>
      <c r="C25" s="3">
        <v>24</v>
      </c>
      <c r="D25" s="3">
        <v>7</v>
      </c>
      <c r="E25" s="3">
        <f t="shared" si="14"/>
        <v>8760</v>
      </c>
      <c r="F25" s="43">
        <f>E25</f>
        <v>8760</v>
      </c>
      <c r="G25" s="3">
        <v>0.6</v>
      </c>
      <c r="H25" s="43">
        <f t="shared" si="12"/>
        <v>5256</v>
      </c>
      <c r="I25" s="122">
        <v>7</v>
      </c>
      <c r="J25" s="3">
        <v>9</v>
      </c>
      <c r="K25" s="3">
        <v>8</v>
      </c>
      <c r="L25" s="44">
        <f t="shared" si="19"/>
        <v>36.792000000000002</v>
      </c>
      <c r="M25" s="44">
        <f t="shared" si="13"/>
        <v>47.304000000000002</v>
      </c>
      <c r="N25" s="44">
        <f>$H25*K25/1000</f>
        <v>42.048000000000002</v>
      </c>
      <c r="O25" s="45">
        <f t="shared" si="15"/>
        <v>126.14400000000001</v>
      </c>
      <c r="P25" s="44">
        <v>4</v>
      </c>
      <c r="Q25" s="49">
        <v>0.15</v>
      </c>
      <c r="R25" s="45">
        <f t="shared" si="16"/>
        <v>672</v>
      </c>
      <c r="S25" s="130">
        <f t="shared" si="17"/>
        <v>517.24137931034488</v>
      </c>
      <c r="T25" s="3">
        <v>30</v>
      </c>
      <c r="U25">
        <v>450</v>
      </c>
      <c r="V25">
        <v>150</v>
      </c>
      <c r="W25">
        <v>350</v>
      </c>
      <c r="X25">
        <v>450</v>
      </c>
      <c r="Y25">
        <v>550</v>
      </c>
      <c r="Z25">
        <v>650</v>
      </c>
      <c r="AA25" s="41">
        <v>0.94</v>
      </c>
      <c r="AB25">
        <v>4.2999999999999997E-2</v>
      </c>
    </row>
    <row r="26" spans="1:28">
      <c r="A26" s="24"/>
      <c r="B26" s="24"/>
      <c r="C26" s="24"/>
      <c r="D26" s="51"/>
      <c r="E26" s="51"/>
      <c r="F26" s="51"/>
      <c r="G26" s="51"/>
      <c r="H26" s="51"/>
      <c r="I26" s="123" t="s">
        <v>176</v>
      </c>
      <c r="J26" s="123" t="s">
        <v>177</v>
      </c>
      <c r="K26" s="123" t="s">
        <v>177</v>
      </c>
      <c r="L26" s="51"/>
      <c r="M26" s="51"/>
      <c r="N26" s="51"/>
      <c r="O26" s="51"/>
      <c r="P26" s="123" t="s">
        <v>177</v>
      </c>
      <c r="Q26" s="51"/>
      <c r="R26" s="51"/>
      <c r="S26" s="52"/>
      <c r="T26" s="123" t="s">
        <v>177</v>
      </c>
      <c r="U26" s="51"/>
    </row>
    <row r="27" spans="1:28">
      <c r="A27" s="48"/>
      <c r="B27" s="48"/>
      <c r="C27" s="48"/>
      <c r="D27" s="48"/>
      <c r="E27" s="48"/>
      <c r="F27" s="48"/>
      <c r="G27" s="48"/>
      <c r="H27" s="48"/>
      <c r="I27" s="48"/>
      <c r="J27" s="48"/>
      <c r="K27" s="48"/>
      <c r="L27" s="48"/>
      <c r="M27" s="48"/>
      <c r="N27" s="48"/>
      <c r="O27" s="48"/>
      <c r="P27" s="48"/>
      <c r="Q27" s="48"/>
      <c r="R27" s="48"/>
      <c r="S27" s="58"/>
    </row>
    <row r="28" spans="1:28" s="142" customFormat="1" ht="18.75">
      <c r="A28" s="143" t="s">
        <v>178</v>
      </c>
      <c r="B28" s="139"/>
      <c r="C28" s="139"/>
      <c r="D28" s="139"/>
      <c r="E28" s="139"/>
      <c r="F28" s="139"/>
      <c r="G28" s="139"/>
      <c r="H28" s="139"/>
      <c r="I28" s="139"/>
      <c r="J28" s="139"/>
      <c r="K28" s="139"/>
      <c r="L28" s="139"/>
      <c r="M28" s="139"/>
      <c r="N28" s="139"/>
      <c r="O28" s="139"/>
      <c r="P28" s="139"/>
      <c r="Q28" s="139"/>
      <c r="R28" s="139"/>
      <c r="S28" s="140"/>
      <c r="T28" s="141"/>
    </row>
    <row r="29" spans="1:28" ht="30">
      <c r="A29" s="51"/>
      <c r="B29" s="124" t="s">
        <v>179</v>
      </c>
      <c r="C29" s="34" t="s">
        <v>47</v>
      </c>
      <c r="D29" s="34" t="s">
        <v>48</v>
      </c>
      <c r="E29" s="146" t="s">
        <v>180</v>
      </c>
      <c r="F29" s="146" t="s">
        <v>181</v>
      </c>
      <c r="H29" s="34" t="s">
        <v>182</v>
      </c>
      <c r="J29" s="146" t="s">
        <v>52</v>
      </c>
      <c r="K29" s="146" t="s">
        <v>183</v>
      </c>
      <c r="L29" s="146" t="s">
        <v>52</v>
      </c>
      <c r="M29" s="34" t="s">
        <v>184</v>
      </c>
      <c r="O29" s="203" t="s">
        <v>180</v>
      </c>
      <c r="P29" s="204" t="s">
        <v>180</v>
      </c>
      <c r="Q29" s="203" t="s">
        <v>182</v>
      </c>
      <c r="R29" s="205" t="s">
        <v>182</v>
      </c>
    </row>
    <row r="30" spans="1:28">
      <c r="A30" s="54" t="s">
        <v>125</v>
      </c>
      <c r="B30" s="44">
        <v>25</v>
      </c>
      <c r="C30" s="44">
        <v>315</v>
      </c>
      <c r="D30" s="44">
        <v>48</v>
      </c>
      <c r="E30" s="201">
        <f>E31</f>
        <v>54</v>
      </c>
      <c r="F30" s="147">
        <f>SUM(B30:E30)</f>
        <v>442</v>
      </c>
      <c r="H30" s="201">
        <f>R30</f>
        <v>10</v>
      </c>
      <c r="J30" s="148">
        <v>43</v>
      </c>
      <c r="K30" s="148">
        <v>7</v>
      </c>
      <c r="L30" s="148">
        <f>J30+K30</f>
        <v>50</v>
      </c>
      <c r="M30" s="148">
        <v>20.399999999999999</v>
      </c>
      <c r="O30" s="149">
        <f>E30</f>
        <v>54</v>
      </c>
      <c r="P30" s="149">
        <f>P31</f>
        <v>42</v>
      </c>
      <c r="Q30" s="149">
        <v>6.1</v>
      </c>
      <c r="R30" s="206">
        <f>R31</f>
        <v>10</v>
      </c>
    </row>
    <row r="31" spans="1:28">
      <c r="A31" s="54" t="s">
        <v>126</v>
      </c>
      <c r="B31" s="44">
        <v>25</v>
      </c>
      <c r="C31" s="44">
        <v>315</v>
      </c>
      <c r="D31" s="44">
        <v>48</v>
      </c>
      <c r="E31" s="201">
        <v>54</v>
      </c>
      <c r="F31" s="147">
        <f>SUM(B31:E31)</f>
        <v>442</v>
      </c>
      <c r="H31" s="201">
        <f t="shared" ref="H31:H37" si="20">R31</f>
        <v>10</v>
      </c>
      <c r="J31" s="149">
        <v>43</v>
      </c>
      <c r="K31" s="149">
        <v>7</v>
      </c>
      <c r="L31" s="148">
        <f t="shared" ref="L31:L37" si="21">J31+K31</f>
        <v>50</v>
      </c>
      <c r="M31" s="148">
        <v>20.399999999999999</v>
      </c>
      <c r="O31" s="149">
        <f t="shared" ref="O31:O36" si="22">E31</f>
        <v>54</v>
      </c>
      <c r="P31" s="149">
        <v>42</v>
      </c>
      <c r="Q31" s="149">
        <v>12</v>
      </c>
      <c r="R31" s="149">
        <v>10</v>
      </c>
    </row>
    <row r="32" spans="1:28">
      <c r="A32" s="54" t="s">
        <v>127</v>
      </c>
      <c r="B32" s="44">
        <v>25</v>
      </c>
      <c r="C32" s="44">
        <v>400</v>
      </c>
      <c r="D32" s="44">
        <v>59</v>
      </c>
      <c r="E32" s="201">
        <v>104</v>
      </c>
      <c r="F32" s="147">
        <f t="shared" ref="F32:F36" si="23">SUM(B32:E32)</f>
        <v>588</v>
      </c>
      <c r="H32" s="201">
        <f t="shared" si="20"/>
        <v>74</v>
      </c>
      <c r="I32" t="s">
        <v>185</v>
      </c>
      <c r="J32" s="149">
        <v>52</v>
      </c>
      <c r="K32" s="149">
        <v>7</v>
      </c>
      <c r="L32" s="148">
        <f t="shared" si="21"/>
        <v>59</v>
      </c>
      <c r="M32" s="148">
        <v>20.399999999999999</v>
      </c>
      <c r="O32" s="149">
        <f t="shared" si="22"/>
        <v>104</v>
      </c>
      <c r="P32" s="149">
        <v>66</v>
      </c>
      <c r="Q32" s="149">
        <v>105</v>
      </c>
      <c r="R32" s="149">
        <v>74</v>
      </c>
    </row>
    <row r="33" spans="1:18">
      <c r="A33" s="54" t="s">
        <v>128</v>
      </c>
      <c r="B33" s="44">
        <v>50</v>
      </c>
      <c r="C33" s="44">
        <v>350</v>
      </c>
      <c r="D33" s="44">
        <v>50</v>
      </c>
      <c r="E33" s="201">
        <v>125</v>
      </c>
      <c r="F33" s="147">
        <f t="shared" si="23"/>
        <v>575</v>
      </c>
      <c r="H33" s="201">
        <f t="shared" si="20"/>
        <v>96</v>
      </c>
      <c r="I33" t="s">
        <v>186</v>
      </c>
      <c r="J33" s="148">
        <v>52</v>
      </c>
      <c r="K33" s="148">
        <v>7</v>
      </c>
      <c r="L33" s="148">
        <f t="shared" si="21"/>
        <v>59</v>
      </c>
      <c r="M33" s="148">
        <v>20.399999999999999</v>
      </c>
      <c r="O33" s="149">
        <f t="shared" si="22"/>
        <v>125</v>
      </c>
      <c r="P33" s="149">
        <v>70</v>
      </c>
      <c r="Q33" s="149">
        <v>141</v>
      </c>
      <c r="R33" s="149">
        <v>96</v>
      </c>
    </row>
    <row r="34" spans="1:18">
      <c r="A34" s="54" t="s">
        <v>129</v>
      </c>
      <c r="B34" s="44">
        <v>30</v>
      </c>
      <c r="C34" s="44">
        <v>300</v>
      </c>
      <c r="D34" s="44">
        <v>61</v>
      </c>
      <c r="E34" s="201">
        <v>120</v>
      </c>
      <c r="F34" s="147">
        <f t="shared" si="23"/>
        <v>511</v>
      </c>
      <c r="H34" s="201">
        <f t="shared" si="20"/>
        <v>70</v>
      </c>
      <c r="J34" s="148">
        <v>52</v>
      </c>
      <c r="K34" s="148">
        <v>7</v>
      </c>
      <c r="L34" s="148">
        <f t="shared" si="21"/>
        <v>59</v>
      </c>
      <c r="M34" s="148">
        <v>20.399999999999999</v>
      </c>
      <c r="O34" s="149">
        <f t="shared" si="22"/>
        <v>120</v>
      </c>
      <c r="P34" s="149">
        <v>79</v>
      </c>
      <c r="Q34" s="149">
        <v>115</v>
      </c>
      <c r="R34" s="149">
        <v>70</v>
      </c>
    </row>
    <row r="35" spans="1:18">
      <c r="A35" s="54" t="s">
        <v>31</v>
      </c>
      <c r="B35" s="44">
        <v>40</v>
      </c>
      <c r="C35" s="44">
        <v>360</v>
      </c>
      <c r="D35" s="44">
        <v>59</v>
      </c>
      <c r="E35" s="201">
        <v>105</v>
      </c>
      <c r="F35" s="147">
        <f t="shared" si="23"/>
        <v>564</v>
      </c>
      <c r="H35" s="201">
        <f t="shared" si="20"/>
        <v>32</v>
      </c>
      <c r="J35" s="149">
        <v>52</v>
      </c>
      <c r="K35" s="149">
        <v>7</v>
      </c>
      <c r="L35" s="148">
        <f t="shared" si="21"/>
        <v>59</v>
      </c>
      <c r="M35" s="148">
        <v>20.399999999999999</v>
      </c>
      <c r="O35" s="149">
        <f t="shared" si="22"/>
        <v>105</v>
      </c>
      <c r="P35" s="149">
        <v>61</v>
      </c>
      <c r="Q35" s="149">
        <v>112</v>
      </c>
      <c r="R35" s="149">
        <v>32</v>
      </c>
    </row>
    <row r="36" spans="1:18">
      <c r="A36" s="54" t="s">
        <v>130</v>
      </c>
      <c r="B36" s="44">
        <f>B33</f>
        <v>50</v>
      </c>
      <c r="C36" s="44">
        <f>C33</f>
        <v>350</v>
      </c>
      <c r="D36" s="44">
        <v>44</v>
      </c>
      <c r="E36" s="148">
        <v>66</v>
      </c>
      <c r="F36" s="147">
        <f t="shared" si="23"/>
        <v>510</v>
      </c>
      <c r="H36" s="148">
        <f t="shared" si="20"/>
        <v>66</v>
      </c>
      <c r="J36" s="148">
        <v>52</v>
      </c>
      <c r="K36" s="148">
        <v>7</v>
      </c>
      <c r="L36" s="148">
        <f t="shared" si="21"/>
        <v>59</v>
      </c>
      <c r="M36" s="148">
        <v>20.399999999999999</v>
      </c>
      <c r="O36" s="149">
        <f t="shared" si="22"/>
        <v>66</v>
      </c>
      <c r="P36" s="149">
        <v>66</v>
      </c>
      <c r="Q36" s="149">
        <v>66</v>
      </c>
      <c r="R36" s="149">
        <v>66</v>
      </c>
    </row>
    <row r="37" spans="1:18" ht="15.75" thickBot="1">
      <c r="A37" s="54" t="s">
        <v>131</v>
      </c>
      <c r="B37" s="44">
        <v>30</v>
      </c>
      <c r="C37" s="44">
        <v>350</v>
      </c>
      <c r="D37" s="44">
        <v>61</v>
      </c>
      <c r="E37" s="201">
        <v>105</v>
      </c>
      <c r="F37" s="147">
        <v>550</v>
      </c>
      <c r="H37" s="201">
        <f t="shared" si="20"/>
        <v>70</v>
      </c>
      <c r="J37" s="148">
        <v>52</v>
      </c>
      <c r="K37" s="148">
        <v>7</v>
      </c>
      <c r="L37" s="148">
        <f t="shared" si="21"/>
        <v>59</v>
      </c>
      <c r="M37" s="148">
        <v>20.399999999999999</v>
      </c>
      <c r="O37" s="207">
        <f>O34</f>
        <v>120</v>
      </c>
      <c r="P37" s="207">
        <f>P34</f>
        <v>79</v>
      </c>
      <c r="Q37" s="207">
        <v>96</v>
      </c>
      <c r="R37" s="207">
        <f>R34</f>
        <v>70</v>
      </c>
    </row>
    <row r="38" spans="1:18" ht="15.75" thickBot="1">
      <c r="A38" s="118" t="str">
        <f>'PK laskenta'!$B$5</f>
        <v>Opetusrakennus ja päiväkoti</v>
      </c>
      <c r="B38" s="150">
        <f ca="1">OFFSET(B29,MATCH($A$38,$A$30:$A$37,0),0)</f>
        <v>40</v>
      </c>
      <c r="C38" s="150">
        <f ca="1">OFFSET(C29,MATCH($A$38,$A$30:$A$37,0),0)</f>
        <v>360</v>
      </c>
      <c r="D38" s="150">
        <f ca="1">OFFSET(D29,MATCH($A$38,$A$30:$A$37,0),0)</f>
        <v>59</v>
      </c>
      <c r="E38" s="151">
        <f ca="1">OFFSET(E29,MATCH($A$38,$A$30:$A$37,0),0)</f>
        <v>105</v>
      </c>
      <c r="F38" s="151">
        <f ca="1">OFFSET(F29,MATCH($A$38,$A$30:$A$37,0),0)</f>
        <v>564</v>
      </c>
      <c r="H38" s="151">
        <f ca="1">OFFSET(H29,MATCH($A$38,$A$30:$A$37,0),0)</f>
        <v>32</v>
      </c>
      <c r="J38" s="151">
        <f ca="1">OFFSET(J29,MATCH($A$38,$A$30:$A$37,0),0)</f>
        <v>52</v>
      </c>
      <c r="K38" s="151">
        <f ca="1">OFFSET(K29,MATCH($A$38,$A$30:$A$37,0),0)</f>
        <v>7</v>
      </c>
      <c r="L38" s="151">
        <f ca="1">OFFSET(L29,MATCH($A$38,$A$30:$A$37,0),0)</f>
        <v>59</v>
      </c>
      <c r="M38" s="151">
        <f ca="1">OFFSET(M29,MATCH($A$38,$A$30:$A$37,0),0)</f>
        <v>20.399999999999999</v>
      </c>
    </row>
    <row r="40" spans="1:18">
      <c r="D40">
        <v>0.68</v>
      </c>
      <c r="E40">
        <f>2300*0.27*D40</f>
        <v>422.28000000000003</v>
      </c>
    </row>
    <row r="41" spans="1:18">
      <c r="D41">
        <f>1-D40</f>
        <v>0.31999999999999995</v>
      </c>
      <c r="E41">
        <f>0.27*304*D41</f>
        <v>26.265599999999999</v>
      </c>
      <c r="F41">
        <f>SUM(E40:E41)</f>
        <v>448.54560000000004</v>
      </c>
    </row>
    <row r="42" spans="1:18">
      <c r="E42">
        <v>450</v>
      </c>
    </row>
    <row r="47" spans="1:18">
      <c r="A47" s="54" t="s">
        <v>187</v>
      </c>
      <c r="B47" s="44">
        <v>50</v>
      </c>
      <c r="C47" s="44">
        <v>350</v>
      </c>
      <c r="D47" s="44">
        <v>50</v>
      </c>
      <c r="E47" s="201">
        <v>88</v>
      </c>
      <c r="F47" s="147"/>
      <c r="H47" s="202">
        <v>122</v>
      </c>
      <c r="J47" s="148"/>
      <c r="K47" s="148"/>
      <c r="L47" s="148"/>
      <c r="O47" s="149">
        <f>E47</f>
        <v>88</v>
      </c>
      <c r="P47" s="149">
        <v>88</v>
      </c>
      <c r="Q47" s="149">
        <f>H47</f>
        <v>122</v>
      </c>
      <c r="R47" s="149">
        <v>122</v>
      </c>
    </row>
  </sheetData>
  <mergeCells count="2">
    <mergeCell ref="L15:N15"/>
    <mergeCell ref="C16:E1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C068-4557-4B45-B316-EB25D8AD9C8D}">
  <dimension ref="A1:J109"/>
  <sheetViews>
    <sheetView workbookViewId="0">
      <selection activeCell="D47" sqref="C47:D49"/>
    </sheetView>
  </sheetViews>
  <sheetFormatPr defaultRowHeight="15"/>
  <cols>
    <col min="6" max="6" width="10.5703125" bestFit="1" customWidth="1"/>
  </cols>
  <sheetData>
    <row r="1" spans="1:8">
      <c r="A1" s="154" t="s">
        <v>188</v>
      </c>
      <c r="B1" s="155"/>
      <c r="C1" s="155"/>
      <c r="D1" s="155"/>
      <c r="E1" s="155"/>
      <c r="F1" s="155"/>
    </row>
    <row r="2" spans="1:8">
      <c r="B2" s="125" t="s">
        <v>189</v>
      </c>
      <c r="E2" s="125" t="s">
        <v>190</v>
      </c>
    </row>
    <row r="3" spans="1:8">
      <c r="B3" s="3" t="s">
        <v>191</v>
      </c>
      <c r="C3" s="3" t="s">
        <v>192</v>
      </c>
      <c r="D3" s="3" t="s">
        <v>193</v>
      </c>
      <c r="E3" s="3" t="s">
        <v>191</v>
      </c>
      <c r="F3" s="3" t="s">
        <v>192</v>
      </c>
      <c r="G3" s="3" t="s">
        <v>193</v>
      </c>
      <c r="H3" t="s">
        <v>193</v>
      </c>
    </row>
    <row r="4" spans="1:8">
      <c r="B4" s="3"/>
      <c r="C4" s="3"/>
      <c r="D4" s="3"/>
      <c r="G4" s="3"/>
    </row>
    <row r="5" spans="1:8">
      <c r="A5" t="s">
        <v>194</v>
      </c>
      <c r="B5" s="3"/>
      <c r="C5" s="160">
        <f>'CO2 laskenta'!$B$7</f>
        <v>2022</v>
      </c>
      <c r="D5" s="42"/>
      <c r="E5" s="158">
        <f>VLOOKUP($C$5,$A$9:$G$59,2,FALSE)</f>
        <v>140.19999999999999</v>
      </c>
      <c r="F5" s="158">
        <f>VLOOKUP($C$5,$A$9:$G$59,3,FALSE)</f>
        <v>140.4</v>
      </c>
      <c r="G5" s="159">
        <f>VLOOKUP($C$5,$A$9:$G$59,4,FALSE)</f>
        <v>38.799999999999997</v>
      </c>
    </row>
    <row r="6" spans="1:8">
      <c r="B6" s="3"/>
      <c r="C6" s="3"/>
      <c r="D6" s="42" t="s">
        <v>195</v>
      </c>
      <c r="E6" s="161">
        <f>VLOOKUP($C$5,$A$9:$G$59,5,FALSE)</f>
        <v>59.084000000000003</v>
      </c>
      <c r="F6" s="161">
        <f>VLOOKUP($C$5,$A$9:$G$59,6,FALSE)</f>
        <v>68.874000000000009</v>
      </c>
      <c r="G6" s="162">
        <f>VLOOKUP($C$5,$A$9:$G$59,7,FALSE)</f>
        <v>17.277999999999999</v>
      </c>
    </row>
    <row r="7" spans="1:8">
      <c r="B7" s="3"/>
      <c r="C7" s="3"/>
      <c r="D7" s="3"/>
      <c r="G7" s="3"/>
    </row>
    <row r="8" spans="1:8">
      <c r="A8">
        <v>2019</v>
      </c>
      <c r="B8" s="3"/>
      <c r="C8" s="3"/>
      <c r="D8" s="3"/>
      <c r="E8" s="3"/>
      <c r="F8" s="3"/>
      <c r="G8" s="3"/>
    </row>
    <row r="9" spans="1:8">
      <c r="A9" s="125">
        <v>2020</v>
      </c>
      <c r="B9" s="156">
        <v>153</v>
      </c>
      <c r="C9" s="156">
        <v>147</v>
      </c>
      <c r="D9" s="156">
        <v>42</v>
      </c>
      <c r="E9" s="163">
        <f>SUM(B9:B58)/50</f>
        <v>64.209999999999994</v>
      </c>
      <c r="F9" s="163">
        <f>SUM(C9:C58)/50</f>
        <v>73.86</v>
      </c>
      <c r="G9" s="163">
        <f>SUM(D9:D58)/50</f>
        <v>18.649999999999999</v>
      </c>
    </row>
    <row r="10" spans="1:8">
      <c r="A10">
        <v>2021</v>
      </c>
      <c r="B10" s="3">
        <f>B$9-(B$9-B$19)/10*($A10-$A$9)</f>
        <v>146.6</v>
      </c>
      <c r="C10" s="3">
        <f t="shared" ref="C10:D18" si="0">C$9-(C$9-C$19)/10*($A10-$A$9)</f>
        <v>143.69999999999999</v>
      </c>
      <c r="D10" s="3">
        <f t="shared" si="0"/>
        <v>40.4</v>
      </c>
      <c r="E10" s="157">
        <f t="shared" ref="E10:E40" si="1">SUM(B10:B59)/50</f>
        <v>61.59</v>
      </c>
      <c r="F10" s="157">
        <f t="shared" ref="F10:F40" si="2">SUM(C10:C59)/50</f>
        <v>71.339999999999989</v>
      </c>
      <c r="G10" s="157">
        <f t="shared" ref="G10:G24" si="3">SUM(D10:D59)/50</f>
        <v>17.95</v>
      </c>
    </row>
    <row r="11" spans="1:8">
      <c r="A11">
        <v>2022</v>
      </c>
      <c r="B11" s="3">
        <f t="shared" ref="B11:B18" si="4">B$9-(B$9-B$19)/10*($A11-$A$9)</f>
        <v>140.19999999999999</v>
      </c>
      <c r="C11" s="3">
        <f t="shared" si="0"/>
        <v>140.4</v>
      </c>
      <c r="D11" s="3">
        <f t="shared" si="0"/>
        <v>38.799999999999997</v>
      </c>
      <c r="E11" s="157">
        <f t="shared" si="1"/>
        <v>59.084000000000003</v>
      </c>
      <c r="F11" s="157">
        <f t="shared" si="2"/>
        <v>68.874000000000009</v>
      </c>
      <c r="G11" s="157">
        <f t="shared" si="3"/>
        <v>17.277999999999999</v>
      </c>
    </row>
    <row r="12" spans="1:8">
      <c r="A12">
        <v>2023</v>
      </c>
      <c r="B12" s="3">
        <f t="shared" si="4"/>
        <v>133.80000000000001</v>
      </c>
      <c r="C12" s="3">
        <f t="shared" si="0"/>
        <v>137.1</v>
      </c>
      <c r="D12" s="3">
        <f t="shared" si="0"/>
        <v>37.200000000000003</v>
      </c>
      <c r="E12" s="157">
        <f t="shared" si="1"/>
        <v>56.692</v>
      </c>
      <c r="F12" s="157">
        <f t="shared" si="2"/>
        <v>66.462000000000003</v>
      </c>
      <c r="G12" s="157">
        <f t="shared" si="3"/>
        <v>16.634</v>
      </c>
    </row>
    <row r="13" spans="1:8">
      <c r="A13">
        <v>2024</v>
      </c>
      <c r="B13" s="3">
        <f t="shared" si="4"/>
        <v>127.4</v>
      </c>
      <c r="C13" s="3">
        <f t="shared" si="0"/>
        <v>133.80000000000001</v>
      </c>
      <c r="D13" s="3">
        <f t="shared" si="0"/>
        <v>35.6</v>
      </c>
      <c r="E13" s="157">
        <f t="shared" si="1"/>
        <v>54.414000000000009</v>
      </c>
      <c r="F13" s="157">
        <f t="shared" si="2"/>
        <v>64.103999999999999</v>
      </c>
      <c r="G13" s="157">
        <f t="shared" si="3"/>
        <v>16.018000000000001</v>
      </c>
    </row>
    <row r="14" spans="1:8">
      <c r="A14">
        <v>2025</v>
      </c>
      <c r="B14" s="3">
        <f t="shared" si="4"/>
        <v>121</v>
      </c>
      <c r="C14" s="3">
        <f t="shared" si="0"/>
        <v>130.5</v>
      </c>
      <c r="D14" s="3">
        <f t="shared" si="0"/>
        <v>34</v>
      </c>
      <c r="E14" s="157">
        <f t="shared" si="1"/>
        <v>52.25</v>
      </c>
      <c r="F14" s="157">
        <f t="shared" si="2"/>
        <v>61.8</v>
      </c>
      <c r="G14" s="157">
        <f t="shared" si="3"/>
        <v>15.43</v>
      </c>
    </row>
    <row r="15" spans="1:8">
      <c r="A15">
        <v>2026</v>
      </c>
      <c r="B15" s="3">
        <f t="shared" si="4"/>
        <v>114.6</v>
      </c>
      <c r="C15" s="3">
        <f t="shared" si="0"/>
        <v>127.2</v>
      </c>
      <c r="D15" s="3">
        <f t="shared" si="0"/>
        <v>32.4</v>
      </c>
      <c r="E15" s="157">
        <f t="shared" si="1"/>
        <v>50.2</v>
      </c>
      <c r="F15" s="157">
        <f t="shared" si="2"/>
        <v>59.55</v>
      </c>
      <c r="G15" s="157">
        <f t="shared" si="3"/>
        <v>14.87</v>
      </c>
    </row>
    <row r="16" spans="1:8">
      <c r="A16">
        <v>2027</v>
      </c>
      <c r="B16" s="3">
        <f t="shared" si="4"/>
        <v>108.19999999999999</v>
      </c>
      <c r="C16" s="3">
        <f t="shared" si="0"/>
        <v>123.9</v>
      </c>
      <c r="D16" s="3">
        <f t="shared" si="0"/>
        <v>30.799999999999997</v>
      </c>
      <c r="E16" s="157">
        <f t="shared" si="1"/>
        <v>48.264000000000003</v>
      </c>
      <c r="F16" s="157">
        <f t="shared" si="2"/>
        <v>57.354000000000006</v>
      </c>
      <c r="G16" s="157">
        <f t="shared" si="3"/>
        <v>14.337999999999997</v>
      </c>
    </row>
    <row r="17" spans="1:9">
      <c r="A17">
        <v>2028</v>
      </c>
      <c r="B17" s="3">
        <f t="shared" si="4"/>
        <v>101.8</v>
      </c>
      <c r="C17" s="3">
        <f t="shared" si="0"/>
        <v>120.6</v>
      </c>
      <c r="D17" s="3">
        <f t="shared" si="0"/>
        <v>29.2</v>
      </c>
      <c r="E17" s="157">
        <f t="shared" si="1"/>
        <v>46.442</v>
      </c>
      <c r="F17" s="157">
        <f t="shared" si="2"/>
        <v>55.21200000000001</v>
      </c>
      <c r="G17" s="157">
        <f t="shared" si="3"/>
        <v>13.833999999999998</v>
      </c>
    </row>
    <row r="18" spans="1:9">
      <c r="A18">
        <v>2029</v>
      </c>
      <c r="B18" s="3">
        <f t="shared" si="4"/>
        <v>95.4</v>
      </c>
      <c r="C18" s="3">
        <f t="shared" si="0"/>
        <v>117.3</v>
      </c>
      <c r="D18" s="3">
        <f t="shared" si="0"/>
        <v>27.6</v>
      </c>
      <c r="E18" s="157">
        <f t="shared" si="1"/>
        <v>44.734000000000009</v>
      </c>
      <c r="F18" s="157">
        <f t="shared" si="2"/>
        <v>53.124000000000002</v>
      </c>
      <c r="G18" s="157">
        <f t="shared" si="3"/>
        <v>13.357999999999997</v>
      </c>
    </row>
    <row r="19" spans="1:9" s="125" customFormat="1">
      <c r="A19" s="125">
        <v>2030</v>
      </c>
      <c r="B19" s="156">
        <v>89</v>
      </c>
      <c r="C19" s="156">
        <v>114</v>
      </c>
      <c r="D19" s="156">
        <v>26</v>
      </c>
      <c r="E19" s="163">
        <f t="shared" si="1"/>
        <v>43.139999999999993</v>
      </c>
      <c r="F19" s="163">
        <f t="shared" si="2"/>
        <v>51.09</v>
      </c>
      <c r="G19" s="163">
        <f t="shared" si="3"/>
        <v>12.91</v>
      </c>
    </row>
    <row r="20" spans="1:9">
      <c r="A20">
        <v>2031</v>
      </c>
      <c r="B20" s="3">
        <f>B$19-(B$19-B$29)/10*($A20-$A$19)</f>
        <v>86</v>
      </c>
      <c r="C20" s="3">
        <f t="shared" ref="C20:D28" si="5">C$19-(C$19-C$29)/10*($A20-$A$19)</f>
        <v>110.8</v>
      </c>
      <c r="D20" s="3">
        <f t="shared" si="5"/>
        <v>25.2</v>
      </c>
      <c r="E20" s="157">
        <f t="shared" si="1"/>
        <v>41.659999999999989</v>
      </c>
      <c r="F20" s="157">
        <f t="shared" si="2"/>
        <v>49.11</v>
      </c>
      <c r="G20" s="157">
        <f t="shared" si="3"/>
        <v>12.49</v>
      </c>
    </row>
    <row r="21" spans="1:9">
      <c r="A21">
        <v>2032</v>
      </c>
      <c r="B21" s="3">
        <f t="shared" ref="B21:B28" si="6">B$19-(B$19-B$29)/10*($A21-$A$19)</f>
        <v>83</v>
      </c>
      <c r="C21" s="3">
        <f t="shared" si="5"/>
        <v>107.6</v>
      </c>
      <c r="D21" s="3">
        <f t="shared" si="5"/>
        <v>24.4</v>
      </c>
      <c r="E21" s="157">
        <f t="shared" si="1"/>
        <v>40.230000000000004</v>
      </c>
      <c r="F21" s="157">
        <f t="shared" si="2"/>
        <v>47.185999999999993</v>
      </c>
      <c r="G21" s="157">
        <f t="shared" si="3"/>
        <v>12.081999999999999</v>
      </c>
    </row>
    <row r="22" spans="1:9">
      <c r="A22">
        <v>2033</v>
      </c>
      <c r="B22" s="3">
        <f t="shared" si="6"/>
        <v>80</v>
      </c>
      <c r="C22" s="3">
        <f t="shared" si="5"/>
        <v>104.4</v>
      </c>
      <c r="D22" s="3">
        <f t="shared" si="5"/>
        <v>23.6</v>
      </c>
      <c r="E22" s="157">
        <f t="shared" si="1"/>
        <v>38.85</v>
      </c>
      <c r="F22" s="157">
        <f t="shared" si="2"/>
        <v>45.318000000000005</v>
      </c>
      <c r="G22" s="157">
        <f t="shared" si="3"/>
        <v>11.686</v>
      </c>
      <c r="I22" s="125"/>
    </row>
    <row r="23" spans="1:9">
      <c r="A23">
        <v>2034</v>
      </c>
      <c r="B23" s="3">
        <f t="shared" si="6"/>
        <v>77</v>
      </c>
      <c r="C23" s="3">
        <f t="shared" si="5"/>
        <v>101.2</v>
      </c>
      <c r="D23" s="3">
        <f t="shared" si="5"/>
        <v>22.8</v>
      </c>
      <c r="E23" s="157">
        <f t="shared" si="1"/>
        <v>37.520000000000003</v>
      </c>
      <c r="F23" s="157">
        <f t="shared" si="2"/>
        <v>43.505999999999993</v>
      </c>
      <c r="G23" s="157">
        <f t="shared" si="3"/>
        <v>11.302</v>
      </c>
    </row>
    <row r="24" spans="1:9">
      <c r="A24">
        <v>2035</v>
      </c>
      <c r="B24" s="3">
        <f t="shared" si="6"/>
        <v>74</v>
      </c>
      <c r="C24" s="3">
        <f t="shared" si="5"/>
        <v>98</v>
      </c>
      <c r="D24" s="3">
        <f t="shared" si="5"/>
        <v>22</v>
      </c>
      <c r="E24" s="157">
        <f t="shared" si="1"/>
        <v>36.239999999999995</v>
      </c>
      <c r="F24" s="157">
        <f t="shared" si="2"/>
        <v>41.75</v>
      </c>
      <c r="G24" s="157">
        <f t="shared" si="3"/>
        <v>10.93</v>
      </c>
    </row>
    <row r="25" spans="1:9">
      <c r="A25">
        <v>2036</v>
      </c>
      <c r="B25" s="3">
        <f t="shared" si="6"/>
        <v>71</v>
      </c>
      <c r="C25" s="3">
        <f t="shared" si="5"/>
        <v>94.8</v>
      </c>
      <c r="D25" s="3">
        <f t="shared" si="5"/>
        <v>21.2</v>
      </c>
      <c r="E25" s="157">
        <f t="shared" si="1"/>
        <v>35.01</v>
      </c>
      <c r="F25" s="157">
        <f t="shared" si="2"/>
        <v>40.049999999999997</v>
      </c>
      <c r="G25" s="157">
        <f t="shared" ref="G25:G59" si="7">SUM(D25:D74)/50</f>
        <v>10.57</v>
      </c>
    </row>
    <row r="26" spans="1:9">
      <c r="A26">
        <v>2037</v>
      </c>
      <c r="B26" s="3">
        <f t="shared" si="6"/>
        <v>68</v>
      </c>
      <c r="C26" s="3">
        <f t="shared" si="5"/>
        <v>91.6</v>
      </c>
      <c r="D26" s="3">
        <f t="shared" si="5"/>
        <v>20.399999999999999</v>
      </c>
      <c r="E26" s="157">
        <f t="shared" si="1"/>
        <v>33.83</v>
      </c>
      <c r="F26" s="157">
        <f t="shared" si="2"/>
        <v>38.405999999999992</v>
      </c>
      <c r="G26" s="157">
        <f t="shared" si="7"/>
        <v>10.222000000000001</v>
      </c>
    </row>
    <row r="27" spans="1:9">
      <c r="A27">
        <v>2038</v>
      </c>
      <c r="B27" s="3">
        <f t="shared" si="6"/>
        <v>65</v>
      </c>
      <c r="C27" s="3">
        <f t="shared" si="5"/>
        <v>88.4</v>
      </c>
      <c r="D27" s="3">
        <f t="shared" si="5"/>
        <v>19.600000000000001</v>
      </c>
      <c r="E27" s="157">
        <f t="shared" si="1"/>
        <v>32.700000000000003</v>
      </c>
      <c r="F27" s="157">
        <f t="shared" si="2"/>
        <v>36.817999999999998</v>
      </c>
      <c r="G27" s="157">
        <f t="shared" si="7"/>
        <v>9.886000000000001</v>
      </c>
    </row>
    <row r="28" spans="1:9">
      <c r="A28">
        <v>2039</v>
      </c>
      <c r="B28" s="3">
        <f t="shared" si="6"/>
        <v>62</v>
      </c>
      <c r="C28" s="3">
        <f t="shared" si="5"/>
        <v>85.2</v>
      </c>
      <c r="D28" s="3">
        <f t="shared" si="5"/>
        <v>18.8</v>
      </c>
      <c r="E28" s="157">
        <f t="shared" si="1"/>
        <v>31.62</v>
      </c>
      <c r="F28" s="157">
        <f t="shared" si="2"/>
        <v>35.286000000000001</v>
      </c>
      <c r="G28" s="157">
        <f t="shared" si="7"/>
        <v>9.5620000000000012</v>
      </c>
    </row>
    <row r="29" spans="1:9" s="125" customFormat="1">
      <c r="A29" s="125">
        <v>2040</v>
      </c>
      <c r="B29" s="156">
        <v>59</v>
      </c>
      <c r="C29" s="156">
        <v>82</v>
      </c>
      <c r="D29" s="156">
        <v>18</v>
      </c>
      <c r="E29" s="163">
        <f t="shared" si="1"/>
        <v>30.59</v>
      </c>
      <c r="F29" s="163">
        <f t="shared" si="2"/>
        <v>33.81</v>
      </c>
      <c r="G29" s="163">
        <f t="shared" si="7"/>
        <v>9.25</v>
      </c>
    </row>
    <row r="30" spans="1:9">
      <c r="A30">
        <v>2041</v>
      </c>
      <c r="B30" s="3">
        <f>B$29-(B$29-B$39)/10*($A30-$A$29)</f>
        <v>57.6</v>
      </c>
      <c r="C30" s="3">
        <f t="shared" ref="C30:D38" si="8">C$29-(C$29-C$39)/10*($A30-$A$29)</f>
        <v>79.2</v>
      </c>
      <c r="D30" s="3">
        <f t="shared" si="8"/>
        <v>17.5</v>
      </c>
      <c r="E30" s="157">
        <f t="shared" si="1"/>
        <v>29.61</v>
      </c>
      <c r="F30" s="157">
        <f t="shared" si="2"/>
        <v>32.39</v>
      </c>
      <c r="G30" s="157">
        <f t="shared" si="7"/>
        <v>8.9499999999999993</v>
      </c>
    </row>
    <row r="31" spans="1:9">
      <c r="A31">
        <v>2042</v>
      </c>
      <c r="B31" s="3">
        <f t="shared" ref="B31:B38" si="9">B$29-(B$29-B$39)/10*($A31-$A$29)</f>
        <v>56.2</v>
      </c>
      <c r="C31" s="3">
        <f t="shared" si="8"/>
        <v>76.400000000000006</v>
      </c>
      <c r="D31" s="3">
        <f t="shared" si="8"/>
        <v>17</v>
      </c>
      <c r="E31" s="157">
        <f t="shared" si="1"/>
        <v>28.652000000000001</v>
      </c>
      <c r="F31" s="157">
        <f t="shared" si="2"/>
        <v>31.02</v>
      </c>
      <c r="G31" s="157">
        <f t="shared" si="7"/>
        <v>8.6579999999999995</v>
      </c>
    </row>
    <row r="32" spans="1:9">
      <c r="A32">
        <v>2043</v>
      </c>
      <c r="B32" s="3">
        <f t="shared" si="9"/>
        <v>54.8</v>
      </c>
      <c r="C32" s="3">
        <f t="shared" si="8"/>
        <v>73.599999999999994</v>
      </c>
      <c r="D32" s="3">
        <f t="shared" si="8"/>
        <v>16.5</v>
      </c>
      <c r="E32" s="157">
        <f t="shared" si="1"/>
        <v>27.716000000000005</v>
      </c>
      <c r="F32" s="157">
        <f t="shared" si="2"/>
        <v>29.700000000000003</v>
      </c>
      <c r="G32" s="157">
        <f t="shared" si="7"/>
        <v>8.3740000000000006</v>
      </c>
    </row>
    <row r="33" spans="1:10">
      <c r="A33">
        <v>2044</v>
      </c>
      <c r="B33" s="3">
        <f t="shared" si="9"/>
        <v>53.4</v>
      </c>
      <c r="C33" s="3">
        <f t="shared" si="8"/>
        <v>70.8</v>
      </c>
      <c r="D33" s="3">
        <f t="shared" si="8"/>
        <v>16</v>
      </c>
      <c r="E33" s="157">
        <f t="shared" si="1"/>
        <v>26.802000000000003</v>
      </c>
      <c r="F33" s="157">
        <f t="shared" si="2"/>
        <v>28.43</v>
      </c>
      <c r="G33" s="157">
        <f t="shared" si="7"/>
        <v>8.097999999999999</v>
      </c>
    </row>
    <row r="34" spans="1:10">
      <c r="A34">
        <v>2045</v>
      </c>
      <c r="B34" s="3">
        <f t="shared" si="9"/>
        <v>52</v>
      </c>
      <c r="C34" s="3">
        <f t="shared" si="8"/>
        <v>68</v>
      </c>
      <c r="D34" s="3">
        <f t="shared" si="8"/>
        <v>15.5</v>
      </c>
      <c r="E34" s="157">
        <f t="shared" si="1"/>
        <v>25.91</v>
      </c>
      <c r="F34" s="157">
        <f t="shared" si="2"/>
        <v>27.21</v>
      </c>
      <c r="G34" s="157">
        <f t="shared" si="7"/>
        <v>7.83</v>
      </c>
    </row>
    <row r="35" spans="1:10">
      <c r="A35">
        <v>2046</v>
      </c>
      <c r="B35" s="3">
        <f t="shared" si="9"/>
        <v>50.6</v>
      </c>
      <c r="C35" s="3">
        <f t="shared" si="8"/>
        <v>65.2</v>
      </c>
      <c r="D35" s="3">
        <f t="shared" si="8"/>
        <v>15</v>
      </c>
      <c r="E35" s="157">
        <f t="shared" si="1"/>
        <v>25.040000000000006</v>
      </c>
      <c r="F35" s="157">
        <f t="shared" si="2"/>
        <v>26.04</v>
      </c>
      <c r="G35" s="157">
        <f t="shared" si="7"/>
        <v>7.57</v>
      </c>
    </row>
    <row r="36" spans="1:10">
      <c r="A36">
        <v>2047</v>
      </c>
      <c r="B36" s="3">
        <f t="shared" si="9"/>
        <v>49.2</v>
      </c>
      <c r="C36" s="3">
        <f t="shared" si="8"/>
        <v>62.400000000000006</v>
      </c>
      <c r="D36" s="3">
        <f t="shared" si="8"/>
        <v>14.5</v>
      </c>
      <c r="E36" s="157">
        <f t="shared" si="1"/>
        <v>24.192000000000004</v>
      </c>
      <c r="F36" s="157">
        <f t="shared" si="2"/>
        <v>24.919999999999995</v>
      </c>
      <c r="G36" s="157">
        <f t="shared" si="7"/>
        <v>7.3179999999999996</v>
      </c>
    </row>
    <row r="37" spans="1:10">
      <c r="A37">
        <v>2048</v>
      </c>
      <c r="B37" s="3">
        <f t="shared" si="9"/>
        <v>47.8</v>
      </c>
      <c r="C37" s="3">
        <f t="shared" si="8"/>
        <v>59.6</v>
      </c>
      <c r="D37" s="3">
        <f t="shared" si="8"/>
        <v>14</v>
      </c>
      <c r="E37" s="157">
        <f t="shared" si="1"/>
        <v>23.366000000000003</v>
      </c>
      <c r="F37" s="157">
        <f t="shared" si="2"/>
        <v>23.850000000000005</v>
      </c>
      <c r="G37" s="157">
        <f t="shared" si="7"/>
        <v>7.0739999999999998</v>
      </c>
    </row>
    <row r="38" spans="1:10">
      <c r="A38">
        <v>2049</v>
      </c>
      <c r="B38" s="3">
        <f t="shared" si="9"/>
        <v>46.4</v>
      </c>
      <c r="C38" s="3">
        <f t="shared" si="8"/>
        <v>56.8</v>
      </c>
      <c r="D38" s="3">
        <f t="shared" si="8"/>
        <v>13.5</v>
      </c>
      <c r="E38" s="157">
        <f t="shared" si="1"/>
        <v>22.562000000000001</v>
      </c>
      <c r="F38" s="157">
        <f t="shared" si="2"/>
        <v>22.83</v>
      </c>
      <c r="G38" s="157">
        <f t="shared" si="7"/>
        <v>6.8379999999999992</v>
      </c>
    </row>
    <row r="39" spans="1:10">
      <c r="A39" s="125">
        <v>2050</v>
      </c>
      <c r="B39" s="156">
        <v>45</v>
      </c>
      <c r="C39" s="156">
        <v>54</v>
      </c>
      <c r="D39" s="156">
        <v>13</v>
      </c>
      <c r="E39" s="157">
        <f t="shared" si="1"/>
        <v>21.78</v>
      </c>
      <c r="F39" s="157">
        <f t="shared" si="2"/>
        <v>21.86</v>
      </c>
      <c r="G39" s="157">
        <f t="shared" si="7"/>
        <v>6.61</v>
      </c>
      <c r="H39" s="125"/>
      <c r="I39" s="125"/>
      <c r="J39" s="125"/>
    </row>
    <row r="40" spans="1:10">
      <c r="A40">
        <v>2051</v>
      </c>
      <c r="B40" s="3">
        <f>B$39-(B$39-B$49)/10*($A40-$A$39)</f>
        <v>43.9</v>
      </c>
      <c r="C40" s="3">
        <f t="shared" ref="C40:D48" si="10">C$39-(C$39-C$49)/10*($A40-$A$39)</f>
        <v>51.5</v>
      </c>
      <c r="D40" s="3">
        <f t="shared" si="10"/>
        <v>12.7</v>
      </c>
      <c r="E40" s="157">
        <f t="shared" si="1"/>
        <v>21.02</v>
      </c>
      <c r="F40" s="157">
        <f t="shared" si="2"/>
        <v>20.94</v>
      </c>
      <c r="G40" s="157">
        <f t="shared" si="7"/>
        <v>6.39</v>
      </c>
    </row>
    <row r="41" spans="1:10">
      <c r="A41">
        <v>2052</v>
      </c>
      <c r="B41" s="3">
        <f t="shared" ref="B41:B48" si="11">B$39-(B$39-B$49)/10*($A41-$A$39)</f>
        <v>42.8</v>
      </c>
      <c r="C41" s="3">
        <f t="shared" si="10"/>
        <v>49</v>
      </c>
      <c r="D41" s="3">
        <f t="shared" si="10"/>
        <v>12.4</v>
      </c>
      <c r="E41" s="157">
        <f t="shared" ref="E41:F56" si="12">SUM(B41:B90)/50</f>
        <v>20.277999999999999</v>
      </c>
      <c r="F41" s="157">
        <f t="shared" si="12"/>
        <v>20.065999999999999</v>
      </c>
      <c r="G41" s="157">
        <f t="shared" si="7"/>
        <v>6.1739999999999995</v>
      </c>
    </row>
    <row r="42" spans="1:10">
      <c r="A42">
        <v>2053</v>
      </c>
      <c r="B42" s="3">
        <f t="shared" si="11"/>
        <v>41.7</v>
      </c>
      <c r="C42" s="3">
        <f t="shared" si="10"/>
        <v>46.5</v>
      </c>
      <c r="D42" s="3">
        <f t="shared" si="10"/>
        <v>12.1</v>
      </c>
      <c r="E42" s="157">
        <f t="shared" si="12"/>
        <v>19.554000000000002</v>
      </c>
      <c r="F42" s="157">
        <f t="shared" si="12"/>
        <v>19.238</v>
      </c>
      <c r="G42" s="157">
        <f t="shared" si="7"/>
        <v>5.9619999999999997</v>
      </c>
    </row>
    <row r="43" spans="1:10">
      <c r="A43">
        <v>2054</v>
      </c>
      <c r="B43" s="3">
        <f t="shared" si="11"/>
        <v>40.6</v>
      </c>
      <c r="C43" s="3">
        <f t="shared" si="10"/>
        <v>44</v>
      </c>
      <c r="D43" s="3">
        <f t="shared" si="10"/>
        <v>11.8</v>
      </c>
      <c r="E43" s="157">
        <f t="shared" si="12"/>
        <v>18.847999999999999</v>
      </c>
      <c r="F43" s="157">
        <f t="shared" si="12"/>
        <v>18.456</v>
      </c>
      <c r="G43" s="157">
        <f t="shared" si="7"/>
        <v>5.7539999999999996</v>
      </c>
    </row>
    <row r="44" spans="1:10">
      <c r="A44">
        <v>2055</v>
      </c>
      <c r="B44" s="3">
        <f t="shared" si="11"/>
        <v>39.5</v>
      </c>
      <c r="C44" s="3">
        <f t="shared" si="10"/>
        <v>41.5</v>
      </c>
      <c r="D44" s="3">
        <f t="shared" si="10"/>
        <v>11.5</v>
      </c>
      <c r="E44" s="157">
        <f t="shared" si="12"/>
        <v>18.16</v>
      </c>
      <c r="F44" s="157">
        <f t="shared" si="12"/>
        <v>17.72</v>
      </c>
      <c r="G44" s="157">
        <f t="shared" si="7"/>
        <v>5.5500000000000007</v>
      </c>
    </row>
    <row r="45" spans="1:10">
      <c r="A45">
        <v>2056</v>
      </c>
      <c r="B45" s="3">
        <f t="shared" si="11"/>
        <v>38.4</v>
      </c>
      <c r="C45" s="3">
        <f t="shared" si="10"/>
        <v>39</v>
      </c>
      <c r="D45" s="3">
        <f t="shared" si="10"/>
        <v>11.2</v>
      </c>
      <c r="E45" s="157">
        <f t="shared" si="12"/>
        <v>17.490000000000002</v>
      </c>
      <c r="F45" s="157">
        <f t="shared" si="12"/>
        <v>17.03</v>
      </c>
      <c r="G45" s="157">
        <f t="shared" si="7"/>
        <v>5.35</v>
      </c>
    </row>
    <row r="46" spans="1:10">
      <c r="A46">
        <v>2057</v>
      </c>
      <c r="B46" s="3">
        <f t="shared" si="11"/>
        <v>37.299999999999997</v>
      </c>
      <c r="C46" s="3">
        <f t="shared" si="10"/>
        <v>36.5</v>
      </c>
      <c r="D46" s="3">
        <f t="shared" si="10"/>
        <v>10.9</v>
      </c>
      <c r="E46" s="157">
        <f t="shared" si="12"/>
        <v>16.837999999999997</v>
      </c>
      <c r="F46" s="157">
        <f t="shared" si="12"/>
        <v>16.385999999999999</v>
      </c>
      <c r="G46" s="157">
        <f t="shared" si="7"/>
        <v>5.153999999999999</v>
      </c>
    </row>
    <row r="47" spans="1:10">
      <c r="A47">
        <v>2058</v>
      </c>
      <c r="B47" s="3">
        <f t="shared" si="11"/>
        <v>36.200000000000003</v>
      </c>
      <c r="C47" s="3">
        <f t="shared" si="10"/>
        <v>34</v>
      </c>
      <c r="D47" s="3">
        <f t="shared" si="10"/>
        <v>10.6</v>
      </c>
      <c r="E47" s="157">
        <f t="shared" si="12"/>
        <v>16.204000000000001</v>
      </c>
      <c r="F47" s="157">
        <f t="shared" si="12"/>
        <v>15.788</v>
      </c>
      <c r="G47" s="157">
        <f t="shared" si="7"/>
        <v>4.9619999999999997</v>
      </c>
    </row>
    <row r="48" spans="1:10">
      <c r="A48">
        <v>2059</v>
      </c>
      <c r="B48" s="3">
        <f t="shared" si="11"/>
        <v>35.1</v>
      </c>
      <c r="C48" s="3">
        <f t="shared" si="10"/>
        <v>31.5</v>
      </c>
      <c r="D48" s="3">
        <f t="shared" si="10"/>
        <v>10.3</v>
      </c>
      <c r="E48" s="157">
        <f t="shared" si="12"/>
        <v>15.587999999999997</v>
      </c>
      <c r="F48" s="157">
        <f t="shared" si="12"/>
        <v>15.235999999999999</v>
      </c>
      <c r="G48" s="157">
        <f t="shared" si="7"/>
        <v>4.774</v>
      </c>
    </row>
    <row r="49" spans="1:10">
      <c r="A49" s="125">
        <v>2060</v>
      </c>
      <c r="B49" s="156">
        <v>34</v>
      </c>
      <c r="C49" s="156">
        <v>29</v>
      </c>
      <c r="D49" s="156">
        <v>10</v>
      </c>
      <c r="E49" s="157">
        <f t="shared" si="12"/>
        <v>14.99</v>
      </c>
      <c r="F49" s="157">
        <f t="shared" si="12"/>
        <v>14.73</v>
      </c>
      <c r="G49" s="157">
        <f t="shared" si="7"/>
        <v>4.59</v>
      </c>
      <c r="H49" s="125"/>
      <c r="I49" s="125"/>
      <c r="J49" s="125"/>
    </row>
    <row r="50" spans="1:10">
      <c r="A50">
        <v>2061</v>
      </c>
      <c r="B50" s="3">
        <f>B$49-(B$49-B$59)/10*($A50-$A$49)</f>
        <v>32.799999999999997</v>
      </c>
      <c r="C50" s="3">
        <f t="shared" ref="C50:D58" si="13">C$49-(C$49-C$59)/10*($A50-$A$49)</f>
        <v>28.2</v>
      </c>
      <c r="D50" s="3">
        <f t="shared" si="13"/>
        <v>9.6999999999999993</v>
      </c>
      <c r="E50" s="157">
        <f t="shared" si="12"/>
        <v>14.41</v>
      </c>
      <c r="F50" s="157">
        <f t="shared" si="12"/>
        <v>14.27</v>
      </c>
      <c r="G50" s="157">
        <f t="shared" si="7"/>
        <v>4.4099999999999993</v>
      </c>
    </row>
    <row r="51" spans="1:10">
      <c r="A51">
        <v>2062</v>
      </c>
      <c r="B51" s="3">
        <f t="shared" ref="B51:B58" si="14">B$49-(B$49-B$59)/10*($A51-$A$49)</f>
        <v>31.6</v>
      </c>
      <c r="C51" s="3">
        <f t="shared" si="13"/>
        <v>27.4</v>
      </c>
      <c r="D51" s="3">
        <f t="shared" si="13"/>
        <v>9.4</v>
      </c>
      <c r="E51" s="157">
        <f t="shared" si="12"/>
        <v>13.85</v>
      </c>
      <c r="F51" s="157">
        <f t="shared" si="12"/>
        <v>13.821999999999997</v>
      </c>
      <c r="G51" s="157">
        <f t="shared" si="7"/>
        <v>4.2360000000000007</v>
      </c>
    </row>
    <row r="52" spans="1:10">
      <c r="A52">
        <v>2063</v>
      </c>
      <c r="B52" s="3">
        <f t="shared" si="14"/>
        <v>30.4</v>
      </c>
      <c r="C52" s="3">
        <f t="shared" si="13"/>
        <v>26.6</v>
      </c>
      <c r="D52" s="3">
        <f t="shared" si="13"/>
        <v>9.1</v>
      </c>
      <c r="E52" s="157">
        <f t="shared" si="12"/>
        <v>13.31</v>
      </c>
      <c r="F52" s="157">
        <f t="shared" si="12"/>
        <v>13.385999999999999</v>
      </c>
      <c r="G52" s="157">
        <f t="shared" si="7"/>
        <v>4.0679999999999996</v>
      </c>
    </row>
    <row r="53" spans="1:10">
      <c r="A53">
        <v>2064</v>
      </c>
      <c r="B53" s="3">
        <f t="shared" si="14"/>
        <v>29.2</v>
      </c>
      <c r="C53" s="3">
        <f t="shared" si="13"/>
        <v>25.8</v>
      </c>
      <c r="D53" s="3">
        <f t="shared" si="13"/>
        <v>8.8000000000000007</v>
      </c>
      <c r="E53" s="157">
        <f t="shared" si="12"/>
        <v>12.789999999999997</v>
      </c>
      <c r="F53" s="157">
        <f t="shared" si="12"/>
        <v>12.961999999999998</v>
      </c>
      <c r="G53" s="157">
        <f t="shared" si="7"/>
        <v>3.9059999999999997</v>
      </c>
    </row>
    <row r="54" spans="1:10">
      <c r="A54">
        <v>2065</v>
      </c>
      <c r="B54" s="3">
        <f t="shared" si="14"/>
        <v>28</v>
      </c>
      <c r="C54" s="3">
        <f t="shared" si="13"/>
        <v>25</v>
      </c>
      <c r="D54" s="3">
        <f t="shared" si="13"/>
        <v>8.5</v>
      </c>
      <c r="E54" s="157">
        <f t="shared" si="12"/>
        <v>12.29</v>
      </c>
      <c r="F54" s="157">
        <f t="shared" si="12"/>
        <v>12.549999999999997</v>
      </c>
      <c r="G54" s="157">
        <f t="shared" si="7"/>
        <v>3.75</v>
      </c>
    </row>
    <row r="55" spans="1:10">
      <c r="A55">
        <v>2066</v>
      </c>
      <c r="B55" s="3">
        <f t="shared" si="14"/>
        <v>26.8</v>
      </c>
      <c r="C55" s="3">
        <f t="shared" si="13"/>
        <v>24.2</v>
      </c>
      <c r="D55" s="3">
        <f t="shared" si="13"/>
        <v>8.1999999999999993</v>
      </c>
      <c r="E55" s="157">
        <f t="shared" si="12"/>
        <v>11.81</v>
      </c>
      <c r="F55" s="157">
        <f t="shared" si="12"/>
        <v>12.15</v>
      </c>
      <c r="G55" s="157">
        <f t="shared" si="7"/>
        <v>3.5999999999999996</v>
      </c>
    </row>
    <row r="56" spans="1:10">
      <c r="A56">
        <v>2067</v>
      </c>
      <c r="B56" s="3">
        <f t="shared" si="14"/>
        <v>25.6</v>
      </c>
      <c r="C56" s="3">
        <f t="shared" si="13"/>
        <v>23.4</v>
      </c>
      <c r="D56" s="3">
        <f t="shared" si="13"/>
        <v>7.9</v>
      </c>
      <c r="E56" s="157">
        <f t="shared" si="12"/>
        <v>11.35</v>
      </c>
      <c r="F56" s="157">
        <f t="shared" si="12"/>
        <v>11.761999999999999</v>
      </c>
      <c r="G56" s="157">
        <f t="shared" si="7"/>
        <v>3.4560000000000004</v>
      </c>
    </row>
    <row r="57" spans="1:10">
      <c r="A57">
        <v>2068</v>
      </c>
      <c r="B57" s="3">
        <f t="shared" si="14"/>
        <v>24.4</v>
      </c>
      <c r="C57" s="3">
        <f t="shared" si="13"/>
        <v>22.6</v>
      </c>
      <c r="D57" s="3">
        <f t="shared" si="13"/>
        <v>7.6</v>
      </c>
      <c r="E57" s="157">
        <f t="shared" ref="E57:F59" si="15">SUM(B57:B106)/50</f>
        <v>10.91</v>
      </c>
      <c r="F57" s="157">
        <f t="shared" si="15"/>
        <v>11.385999999999999</v>
      </c>
      <c r="G57" s="157">
        <f t="shared" si="7"/>
        <v>3.3180000000000001</v>
      </c>
    </row>
    <row r="58" spans="1:10">
      <c r="A58">
        <v>2069</v>
      </c>
      <c r="B58" s="3">
        <f t="shared" si="14"/>
        <v>23.200000000000003</v>
      </c>
      <c r="C58" s="3">
        <f t="shared" si="13"/>
        <v>21.8</v>
      </c>
      <c r="D58" s="3">
        <f t="shared" si="13"/>
        <v>7.3000000000000007</v>
      </c>
      <c r="E58" s="157">
        <f t="shared" si="15"/>
        <v>10.49</v>
      </c>
      <c r="F58" s="157">
        <f t="shared" si="15"/>
        <v>11.021999999999998</v>
      </c>
      <c r="G58" s="157">
        <f t="shared" si="7"/>
        <v>3.1859999999999995</v>
      </c>
    </row>
    <row r="59" spans="1:10">
      <c r="A59" s="125">
        <v>2070</v>
      </c>
      <c r="B59" s="156">
        <v>22</v>
      </c>
      <c r="C59" s="156">
        <v>21</v>
      </c>
      <c r="D59" s="156">
        <v>7</v>
      </c>
      <c r="E59" s="157">
        <f t="shared" si="15"/>
        <v>10.09</v>
      </c>
      <c r="F59" s="157">
        <f t="shared" si="15"/>
        <v>10.67</v>
      </c>
      <c r="G59" s="157">
        <f t="shared" si="7"/>
        <v>3.06</v>
      </c>
      <c r="H59" s="125"/>
      <c r="I59" s="125"/>
      <c r="J59" s="125"/>
    </row>
    <row r="60" spans="1:10">
      <c r="A60">
        <v>2071</v>
      </c>
      <c r="B60" s="3">
        <f>B$59-(B$59-B$69)/10*($A60-$A$59)</f>
        <v>21.3</v>
      </c>
      <c r="C60" s="3">
        <f t="shared" ref="C60:D68" si="16">C$59-(C$59-C$69)/10*($A60-$A$59)</f>
        <v>20.399999999999999</v>
      </c>
      <c r="D60" s="3">
        <f t="shared" si="16"/>
        <v>6.8</v>
      </c>
      <c r="E60" s="157">
        <f>SUM(B60:B109)/50</f>
        <v>9.7100000000000009</v>
      </c>
      <c r="F60" s="157">
        <f>SUM(C60:C109)/50</f>
        <v>10.33</v>
      </c>
      <c r="G60" s="157">
        <f>SUM(D60:D109)/50</f>
        <v>2.94</v>
      </c>
    </row>
    <row r="61" spans="1:10">
      <c r="A61">
        <v>2072</v>
      </c>
      <c r="B61" s="3">
        <f t="shared" ref="B61:B68" si="17">B$59-(B$59-B$69)/10*($A61-$A$59)</f>
        <v>20.6</v>
      </c>
      <c r="C61" s="3">
        <f t="shared" si="16"/>
        <v>19.8</v>
      </c>
      <c r="D61" s="3">
        <f t="shared" si="16"/>
        <v>6.6</v>
      </c>
      <c r="E61" s="157"/>
      <c r="F61" s="157"/>
      <c r="G61" s="157"/>
    </row>
    <row r="62" spans="1:10">
      <c r="A62">
        <v>2073</v>
      </c>
      <c r="B62" s="3">
        <f t="shared" si="17"/>
        <v>19.899999999999999</v>
      </c>
      <c r="C62" s="3">
        <f t="shared" si="16"/>
        <v>19.2</v>
      </c>
      <c r="D62" s="3">
        <f t="shared" si="16"/>
        <v>6.4</v>
      </c>
      <c r="E62" s="157"/>
      <c r="F62" s="157"/>
      <c r="G62" s="157"/>
    </row>
    <row r="63" spans="1:10">
      <c r="A63">
        <v>2074</v>
      </c>
      <c r="B63" s="3">
        <f t="shared" si="17"/>
        <v>19.2</v>
      </c>
      <c r="C63" s="3">
        <f t="shared" si="16"/>
        <v>18.600000000000001</v>
      </c>
      <c r="D63" s="3">
        <f t="shared" si="16"/>
        <v>6.2</v>
      </c>
      <c r="E63" s="157"/>
      <c r="F63" s="157"/>
      <c r="G63" s="157"/>
    </row>
    <row r="64" spans="1:10">
      <c r="A64">
        <v>2075</v>
      </c>
      <c r="B64" s="3">
        <f t="shared" si="17"/>
        <v>18.5</v>
      </c>
      <c r="C64" s="3">
        <f t="shared" si="16"/>
        <v>18</v>
      </c>
      <c r="D64" s="3">
        <f t="shared" si="16"/>
        <v>6</v>
      </c>
      <c r="E64" s="157"/>
      <c r="F64" s="157"/>
      <c r="G64" s="157"/>
    </row>
    <row r="65" spans="1:10">
      <c r="A65">
        <v>2076</v>
      </c>
      <c r="B65" s="3">
        <f t="shared" si="17"/>
        <v>17.8</v>
      </c>
      <c r="C65" s="3">
        <f t="shared" si="16"/>
        <v>17.399999999999999</v>
      </c>
      <c r="D65" s="3">
        <f t="shared" si="16"/>
        <v>5.8</v>
      </c>
      <c r="E65" s="157"/>
      <c r="F65" s="157"/>
      <c r="G65" s="157"/>
    </row>
    <row r="66" spans="1:10">
      <c r="A66">
        <v>2077</v>
      </c>
      <c r="B66" s="3">
        <f t="shared" si="17"/>
        <v>17.100000000000001</v>
      </c>
      <c r="C66" s="3">
        <f t="shared" si="16"/>
        <v>16.8</v>
      </c>
      <c r="D66" s="3">
        <f t="shared" si="16"/>
        <v>5.6</v>
      </c>
      <c r="E66" s="157"/>
      <c r="F66" s="157"/>
      <c r="G66" s="157"/>
    </row>
    <row r="67" spans="1:10">
      <c r="A67">
        <v>2078</v>
      </c>
      <c r="B67" s="3">
        <f t="shared" si="17"/>
        <v>16.399999999999999</v>
      </c>
      <c r="C67" s="3">
        <f t="shared" si="16"/>
        <v>16.2</v>
      </c>
      <c r="D67" s="3">
        <f t="shared" si="16"/>
        <v>5.4</v>
      </c>
      <c r="E67" s="157"/>
      <c r="F67" s="157"/>
      <c r="G67" s="157"/>
    </row>
    <row r="68" spans="1:10">
      <c r="A68">
        <v>2079</v>
      </c>
      <c r="B68" s="3">
        <f t="shared" si="17"/>
        <v>15.7</v>
      </c>
      <c r="C68" s="3">
        <f t="shared" si="16"/>
        <v>15.600000000000001</v>
      </c>
      <c r="D68" s="3">
        <f t="shared" si="16"/>
        <v>5.2</v>
      </c>
      <c r="E68" s="157"/>
      <c r="F68" s="157"/>
      <c r="G68" s="157"/>
    </row>
    <row r="69" spans="1:10">
      <c r="A69" s="125">
        <v>2080</v>
      </c>
      <c r="B69" s="156">
        <v>15</v>
      </c>
      <c r="C69" s="156">
        <v>15</v>
      </c>
      <c r="D69" s="156">
        <v>5</v>
      </c>
      <c r="E69" s="157"/>
      <c r="F69" s="157"/>
      <c r="G69" s="157"/>
      <c r="H69" s="125"/>
      <c r="I69" s="125"/>
      <c r="J69" s="125"/>
    </row>
    <row r="70" spans="1:10">
      <c r="A70">
        <v>2081</v>
      </c>
      <c r="B70" s="3">
        <f>B$69-(B$69-B$79)/10*($A70-$A$69)</f>
        <v>14.5</v>
      </c>
      <c r="C70" s="3">
        <f t="shared" ref="C70:D78" si="18">C$69-(C$69-C$79)/10*($A70-$A$69)</f>
        <v>14.6</v>
      </c>
      <c r="D70" s="3">
        <f t="shared" si="18"/>
        <v>4.8</v>
      </c>
      <c r="E70" s="157"/>
      <c r="F70" s="157"/>
      <c r="G70" s="157"/>
    </row>
    <row r="71" spans="1:10">
      <c r="A71">
        <v>2082</v>
      </c>
      <c r="B71" s="3">
        <f t="shared" ref="B71:B78" si="19">B$69-(B$69-B$79)/10*($A71-$A$69)</f>
        <v>14</v>
      </c>
      <c r="C71" s="3">
        <f t="shared" si="18"/>
        <v>14.2</v>
      </c>
      <c r="D71" s="3">
        <f t="shared" si="18"/>
        <v>4.5999999999999996</v>
      </c>
      <c r="E71" s="157"/>
      <c r="F71" s="157"/>
      <c r="G71" s="157"/>
    </row>
    <row r="72" spans="1:10">
      <c r="A72">
        <v>2083</v>
      </c>
      <c r="B72" s="3">
        <f t="shared" si="19"/>
        <v>13.5</v>
      </c>
      <c r="C72" s="3">
        <f t="shared" si="18"/>
        <v>13.8</v>
      </c>
      <c r="D72" s="3">
        <f t="shared" si="18"/>
        <v>4.4000000000000004</v>
      </c>
      <c r="E72" s="157"/>
      <c r="F72" s="157"/>
      <c r="G72" s="157"/>
    </row>
    <row r="73" spans="1:10">
      <c r="A73">
        <v>2084</v>
      </c>
      <c r="B73" s="3">
        <f t="shared" si="19"/>
        <v>13</v>
      </c>
      <c r="C73" s="3">
        <f t="shared" si="18"/>
        <v>13.4</v>
      </c>
      <c r="D73" s="3">
        <f t="shared" si="18"/>
        <v>4.2</v>
      </c>
      <c r="E73" s="157"/>
      <c r="F73" s="157"/>
      <c r="G73" s="157"/>
    </row>
    <row r="74" spans="1:10">
      <c r="A74">
        <v>2085</v>
      </c>
      <c r="B74" s="3">
        <f t="shared" si="19"/>
        <v>12.5</v>
      </c>
      <c r="C74" s="3">
        <f t="shared" si="18"/>
        <v>13</v>
      </c>
      <c r="D74" s="3">
        <f t="shared" si="18"/>
        <v>4</v>
      </c>
      <c r="E74" s="157"/>
      <c r="F74" s="157"/>
      <c r="G74" s="157"/>
    </row>
    <row r="75" spans="1:10">
      <c r="A75">
        <v>2086</v>
      </c>
      <c r="B75" s="3">
        <f t="shared" si="19"/>
        <v>12</v>
      </c>
      <c r="C75" s="3">
        <f t="shared" si="18"/>
        <v>12.6</v>
      </c>
      <c r="D75" s="3">
        <f t="shared" si="18"/>
        <v>3.8</v>
      </c>
      <c r="E75" s="157"/>
      <c r="F75" s="157"/>
      <c r="G75" s="157"/>
    </row>
    <row r="76" spans="1:10">
      <c r="A76">
        <v>2087</v>
      </c>
      <c r="B76" s="3">
        <f t="shared" si="19"/>
        <v>11.5</v>
      </c>
      <c r="C76" s="3">
        <f t="shared" si="18"/>
        <v>12.2</v>
      </c>
      <c r="D76" s="3">
        <f t="shared" si="18"/>
        <v>3.5999999999999996</v>
      </c>
      <c r="E76" s="157"/>
      <c r="F76" s="157"/>
      <c r="G76" s="157"/>
    </row>
    <row r="77" spans="1:10">
      <c r="A77">
        <v>2088</v>
      </c>
      <c r="B77" s="3">
        <f t="shared" si="19"/>
        <v>11</v>
      </c>
      <c r="C77" s="3">
        <f t="shared" si="18"/>
        <v>11.8</v>
      </c>
      <c r="D77" s="3">
        <f t="shared" si="18"/>
        <v>3.4</v>
      </c>
      <c r="E77" s="157"/>
      <c r="F77" s="157"/>
      <c r="G77" s="157"/>
    </row>
    <row r="78" spans="1:10">
      <c r="A78">
        <v>2089</v>
      </c>
      <c r="B78" s="3">
        <f t="shared" si="19"/>
        <v>10.5</v>
      </c>
      <c r="C78" s="3">
        <f t="shared" si="18"/>
        <v>11.4</v>
      </c>
      <c r="D78" s="3">
        <f t="shared" si="18"/>
        <v>3.2</v>
      </c>
      <c r="E78" s="157"/>
      <c r="F78" s="157"/>
      <c r="G78" s="157"/>
    </row>
    <row r="79" spans="1:10">
      <c r="A79">
        <v>2090</v>
      </c>
      <c r="B79" s="156">
        <v>10</v>
      </c>
      <c r="C79" s="156">
        <v>11</v>
      </c>
      <c r="D79" s="156">
        <v>3</v>
      </c>
      <c r="E79" s="157"/>
      <c r="F79" s="157"/>
      <c r="G79" s="157"/>
    </row>
    <row r="80" spans="1:10">
      <c r="A80">
        <v>2091</v>
      </c>
      <c r="B80" s="3">
        <f>B$79-(B$79-B$89)/10*($A80-$A$79)</f>
        <v>9.6999999999999993</v>
      </c>
      <c r="C80" s="3">
        <f t="shared" ref="C80:D88" si="20">C$79-(C$79-C$89)/10*($A80-$A$79)</f>
        <v>10.7</v>
      </c>
      <c r="D80" s="3">
        <f t="shared" si="20"/>
        <v>2.9</v>
      </c>
      <c r="E80" s="157"/>
      <c r="F80" s="157"/>
      <c r="G80" s="157"/>
    </row>
    <row r="81" spans="1:7">
      <c r="A81">
        <v>2092</v>
      </c>
      <c r="B81" s="3">
        <f t="shared" ref="B81:B88" si="21">B$79-(B$79-B$89)/10*($A81-$A$79)</f>
        <v>9.4</v>
      </c>
      <c r="C81" s="3">
        <f t="shared" si="20"/>
        <v>10.4</v>
      </c>
      <c r="D81" s="3">
        <f t="shared" si="20"/>
        <v>2.8</v>
      </c>
      <c r="E81" s="157"/>
      <c r="F81" s="157"/>
      <c r="G81" s="157"/>
    </row>
    <row r="82" spans="1:7">
      <c r="A82">
        <v>2093</v>
      </c>
      <c r="B82" s="3">
        <f t="shared" si="21"/>
        <v>9.1</v>
      </c>
      <c r="C82" s="3">
        <f t="shared" si="20"/>
        <v>10.1</v>
      </c>
      <c r="D82" s="3">
        <f t="shared" si="20"/>
        <v>2.7</v>
      </c>
      <c r="E82" s="157"/>
      <c r="F82" s="157"/>
      <c r="G82" s="157"/>
    </row>
    <row r="83" spans="1:7">
      <c r="A83">
        <v>2094</v>
      </c>
      <c r="B83" s="3">
        <f t="shared" si="21"/>
        <v>8.8000000000000007</v>
      </c>
      <c r="C83" s="3">
        <f t="shared" si="20"/>
        <v>9.8000000000000007</v>
      </c>
      <c r="D83" s="3">
        <f t="shared" si="20"/>
        <v>2.6</v>
      </c>
      <c r="E83" s="157"/>
      <c r="F83" s="157"/>
      <c r="G83" s="157"/>
    </row>
    <row r="84" spans="1:7">
      <c r="A84">
        <v>2095</v>
      </c>
      <c r="B84" s="3">
        <f t="shared" si="21"/>
        <v>8.5</v>
      </c>
      <c r="C84" s="3">
        <f t="shared" si="20"/>
        <v>9.5</v>
      </c>
      <c r="D84" s="3">
        <f t="shared" si="20"/>
        <v>2.5</v>
      </c>
      <c r="E84" s="157"/>
      <c r="F84" s="157"/>
      <c r="G84" s="157"/>
    </row>
    <row r="85" spans="1:7">
      <c r="A85">
        <v>2096</v>
      </c>
      <c r="B85" s="3">
        <f t="shared" si="21"/>
        <v>8.1999999999999993</v>
      </c>
      <c r="C85" s="3">
        <f t="shared" si="20"/>
        <v>9.1999999999999993</v>
      </c>
      <c r="D85" s="3">
        <f t="shared" si="20"/>
        <v>2.4</v>
      </c>
      <c r="E85" s="157"/>
      <c r="F85" s="157"/>
      <c r="G85" s="157"/>
    </row>
    <row r="86" spans="1:7">
      <c r="A86">
        <v>2097</v>
      </c>
      <c r="B86" s="3">
        <f t="shared" si="21"/>
        <v>7.9</v>
      </c>
      <c r="C86" s="3">
        <f t="shared" si="20"/>
        <v>8.9</v>
      </c>
      <c r="D86" s="3">
        <f t="shared" si="20"/>
        <v>2.2999999999999998</v>
      </c>
      <c r="E86" s="157"/>
      <c r="F86" s="157"/>
      <c r="G86" s="157"/>
    </row>
    <row r="87" spans="1:7">
      <c r="A87">
        <v>2098</v>
      </c>
      <c r="B87" s="3">
        <f t="shared" si="21"/>
        <v>7.6</v>
      </c>
      <c r="C87" s="3">
        <f t="shared" si="20"/>
        <v>8.6</v>
      </c>
      <c r="D87" s="3">
        <f t="shared" si="20"/>
        <v>2.2000000000000002</v>
      </c>
      <c r="E87" s="157"/>
      <c r="F87" s="157"/>
      <c r="G87" s="157"/>
    </row>
    <row r="88" spans="1:7">
      <c r="A88">
        <v>2099</v>
      </c>
      <c r="B88" s="3">
        <f t="shared" si="21"/>
        <v>7.3000000000000007</v>
      </c>
      <c r="C88" s="3">
        <f t="shared" si="20"/>
        <v>8.3000000000000007</v>
      </c>
      <c r="D88" s="3">
        <f t="shared" si="20"/>
        <v>2.1</v>
      </c>
      <c r="E88" s="157"/>
      <c r="F88" s="157"/>
      <c r="G88" s="157"/>
    </row>
    <row r="89" spans="1:7">
      <c r="A89">
        <v>2100</v>
      </c>
      <c r="B89" s="156">
        <v>7</v>
      </c>
      <c r="C89" s="156">
        <v>8</v>
      </c>
      <c r="D89" s="156">
        <v>2</v>
      </c>
      <c r="E89" s="157"/>
      <c r="F89" s="157"/>
      <c r="G89" s="157"/>
    </row>
    <row r="90" spans="1:7">
      <c r="A90">
        <v>2101</v>
      </c>
      <c r="B90" s="3">
        <f>B$89-(B$89-B$99)/10*($A90-$A$89)</f>
        <v>6.8</v>
      </c>
      <c r="C90" s="3">
        <f t="shared" ref="C90:D98" si="22">C$89-(C$89-C$99)/10*($A90-$A$89)</f>
        <v>7.8</v>
      </c>
      <c r="D90" s="3">
        <f t="shared" si="22"/>
        <v>1.9</v>
      </c>
      <c r="E90" s="3"/>
      <c r="F90" s="3"/>
      <c r="G90" s="3"/>
    </row>
    <row r="91" spans="1:7">
      <c r="A91">
        <v>2102</v>
      </c>
      <c r="B91" s="3">
        <f t="shared" ref="B91:B98" si="23">B$89-(B$89-B$99)/10*($A91-$A$89)</f>
        <v>6.6</v>
      </c>
      <c r="C91" s="3">
        <f t="shared" si="22"/>
        <v>7.6</v>
      </c>
      <c r="D91" s="3">
        <f t="shared" si="22"/>
        <v>1.8</v>
      </c>
      <c r="E91" s="3"/>
      <c r="F91" s="3"/>
      <c r="G91" s="3"/>
    </row>
    <row r="92" spans="1:7">
      <c r="A92">
        <v>2103</v>
      </c>
      <c r="B92" s="3">
        <f t="shared" si="23"/>
        <v>6.4</v>
      </c>
      <c r="C92" s="3">
        <f t="shared" si="22"/>
        <v>7.4</v>
      </c>
      <c r="D92" s="3">
        <f t="shared" si="22"/>
        <v>1.7</v>
      </c>
      <c r="E92" s="3"/>
      <c r="F92" s="3"/>
      <c r="G92" s="3"/>
    </row>
    <row r="93" spans="1:7">
      <c r="A93">
        <v>2104</v>
      </c>
      <c r="B93" s="3">
        <f t="shared" si="23"/>
        <v>6.2</v>
      </c>
      <c r="C93" s="3">
        <f t="shared" si="22"/>
        <v>7.2</v>
      </c>
      <c r="D93" s="3">
        <f t="shared" si="22"/>
        <v>1.6</v>
      </c>
      <c r="E93" s="3"/>
      <c r="F93" s="3"/>
      <c r="G93" s="3"/>
    </row>
    <row r="94" spans="1:7">
      <c r="A94">
        <v>2105</v>
      </c>
      <c r="B94" s="3">
        <f t="shared" si="23"/>
        <v>6</v>
      </c>
      <c r="C94" s="3">
        <f t="shared" si="22"/>
        <v>7</v>
      </c>
      <c r="D94" s="3">
        <f t="shared" si="22"/>
        <v>1.5</v>
      </c>
      <c r="E94" s="3"/>
      <c r="F94" s="3"/>
      <c r="G94" s="3"/>
    </row>
    <row r="95" spans="1:7">
      <c r="A95">
        <v>2106</v>
      </c>
      <c r="B95" s="3">
        <f t="shared" si="23"/>
        <v>5.8</v>
      </c>
      <c r="C95" s="3">
        <f t="shared" si="22"/>
        <v>6.8</v>
      </c>
      <c r="D95" s="3">
        <f t="shared" si="22"/>
        <v>1.4</v>
      </c>
      <c r="E95" s="3"/>
      <c r="F95" s="3"/>
      <c r="G95" s="3"/>
    </row>
    <row r="96" spans="1:7">
      <c r="A96">
        <v>2107</v>
      </c>
      <c r="B96" s="3">
        <f t="shared" si="23"/>
        <v>5.6</v>
      </c>
      <c r="C96" s="3">
        <f t="shared" si="22"/>
        <v>6.6</v>
      </c>
      <c r="D96" s="3">
        <f t="shared" si="22"/>
        <v>1.2999999999999998</v>
      </c>
      <c r="E96" s="3"/>
      <c r="F96" s="3"/>
      <c r="G96" s="3"/>
    </row>
    <row r="97" spans="1:7">
      <c r="A97">
        <v>2108</v>
      </c>
      <c r="B97" s="3">
        <f t="shared" si="23"/>
        <v>5.4</v>
      </c>
      <c r="C97" s="3">
        <f t="shared" si="22"/>
        <v>6.4</v>
      </c>
      <c r="D97" s="3">
        <f t="shared" si="22"/>
        <v>1.2</v>
      </c>
      <c r="E97" s="3"/>
      <c r="F97" s="3"/>
      <c r="G97" s="3"/>
    </row>
    <row r="98" spans="1:7">
      <c r="A98">
        <v>2109</v>
      </c>
      <c r="B98" s="3">
        <f t="shared" si="23"/>
        <v>5.2</v>
      </c>
      <c r="C98" s="3">
        <f t="shared" si="22"/>
        <v>6.2</v>
      </c>
      <c r="D98" s="3">
        <f t="shared" si="22"/>
        <v>1.1000000000000001</v>
      </c>
      <c r="E98" s="3"/>
      <c r="F98" s="3"/>
      <c r="G98" s="3"/>
    </row>
    <row r="99" spans="1:7">
      <c r="A99">
        <v>2110</v>
      </c>
      <c r="B99" s="156">
        <v>5</v>
      </c>
      <c r="C99" s="156">
        <v>6</v>
      </c>
      <c r="D99" s="156">
        <v>1</v>
      </c>
      <c r="E99" s="3"/>
      <c r="F99" s="3"/>
      <c r="G99" s="3"/>
    </row>
    <row r="100" spans="1:7">
      <c r="A100">
        <v>2111</v>
      </c>
      <c r="B100" s="3">
        <f>B$99-(B$99-B$109)/10*($A100-$A$99)</f>
        <v>4.8</v>
      </c>
      <c r="C100" s="3">
        <f t="shared" ref="C100:D108" si="24">C$99-(C$99-C$109)/10*($A100-$A$99)</f>
        <v>5.8</v>
      </c>
      <c r="D100" s="3">
        <f t="shared" si="24"/>
        <v>1</v>
      </c>
      <c r="E100" s="3"/>
      <c r="F100" s="3"/>
      <c r="G100" s="3"/>
    </row>
    <row r="101" spans="1:7">
      <c r="A101">
        <v>2112</v>
      </c>
      <c r="B101" s="3">
        <f t="shared" ref="B101:B108" si="25">B$99-(B$99-B$109)/10*($A101-$A$99)</f>
        <v>4.5999999999999996</v>
      </c>
      <c r="C101" s="3">
        <f t="shared" si="24"/>
        <v>5.6</v>
      </c>
      <c r="D101" s="3">
        <f t="shared" si="24"/>
        <v>1</v>
      </c>
      <c r="E101" s="3"/>
      <c r="F101" s="3"/>
      <c r="G101" s="3"/>
    </row>
    <row r="102" spans="1:7">
      <c r="A102">
        <v>2113</v>
      </c>
      <c r="B102" s="3">
        <f t="shared" si="25"/>
        <v>4.4000000000000004</v>
      </c>
      <c r="C102" s="3">
        <f t="shared" si="24"/>
        <v>5.4</v>
      </c>
      <c r="D102" s="3">
        <f t="shared" si="24"/>
        <v>1</v>
      </c>
      <c r="E102" s="3"/>
      <c r="F102" s="3"/>
      <c r="G102" s="3"/>
    </row>
    <row r="103" spans="1:7">
      <c r="A103">
        <v>2114</v>
      </c>
      <c r="B103" s="3">
        <f t="shared" si="25"/>
        <v>4.2</v>
      </c>
      <c r="C103" s="3">
        <f t="shared" si="24"/>
        <v>5.2</v>
      </c>
      <c r="D103" s="3">
        <f t="shared" si="24"/>
        <v>1</v>
      </c>
      <c r="E103" s="3"/>
      <c r="F103" s="3"/>
      <c r="G103" s="3"/>
    </row>
    <row r="104" spans="1:7">
      <c r="A104">
        <v>2115</v>
      </c>
      <c r="B104" s="3">
        <f t="shared" si="25"/>
        <v>4</v>
      </c>
      <c r="C104" s="3">
        <f t="shared" si="24"/>
        <v>5</v>
      </c>
      <c r="D104" s="3">
        <f t="shared" si="24"/>
        <v>1</v>
      </c>
      <c r="E104" s="3"/>
      <c r="F104" s="3"/>
      <c r="G104" s="3"/>
    </row>
    <row r="105" spans="1:7">
      <c r="A105">
        <v>2116</v>
      </c>
      <c r="B105" s="3">
        <f t="shared" si="25"/>
        <v>3.8</v>
      </c>
      <c r="C105" s="3">
        <f t="shared" si="24"/>
        <v>4.8</v>
      </c>
      <c r="D105" s="3">
        <f t="shared" si="24"/>
        <v>1</v>
      </c>
      <c r="E105" s="3"/>
      <c r="F105" s="3"/>
      <c r="G105" s="3"/>
    </row>
    <row r="106" spans="1:7">
      <c r="A106">
        <v>2117</v>
      </c>
      <c r="B106" s="3">
        <f t="shared" si="25"/>
        <v>3.5999999999999996</v>
      </c>
      <c r="C106" s="3">
        <f t="shared" si="24"/>
        <v>4.5999999999999996</v>
      </c>
      <c r="D106" s="3">
        <f t="shared" si="24"/>
        <v>1</v>
      </c>
      <c r="E106" s="3"/>
      <c r="F106" s="3"/>
      <c r="G106" s="3"/>
    </row>
    <row r="107" spans="1:7">
      <c r="A107">
        <v>2118</v>
      </c>
      <c r="B107" s="3">
        <f t="shared" si="25"/>
        <v>3.4</v>
      </c>
      <c r="C107" s="3">
        <f t="shared" si="24"/>
        <v>4.4000000000000004</v>
      </c>
      <c r="D107" s="3">
        <f t="shared" si="24"/>
        <v>1</v>
      </c>
      <c r="E107" s="3"/>
      <c r="F107" s="3"/>
      <c r="G107" s="3"/>
    </row>
    <row r="108" spans="1:7">
      <c r="A108">
        <v>2119</v>
      </c>
      <c r="B108" s="3">
        <f t="shared" si="25"/>
        <v>3.2</v>
      </c>
      <c r="C108" s="3">
        <f t="shared" si="24"/>
        <v>4.2</v>
      </c>
      <c r="D108" s="3">
        <f t="shared" si="24"/>
        <v>1</v>
      </c>
      <c r="E108" s="3"/>
      <c r="F108" s="3"/>
      <c r="G108" s="3"/>
    </row>
    <row r="109" spans="1:7">
      <c r="A109">
        <v>2120</v>
      </c>
      <c r="B109" s="156">
        <v>3</v>
      </c>
      <c r="C109" s="156">
        <v>4</v>
      </c>
      <c r="D109" s="156">
        <v>1</v>
      </c>
      <c r="E109" s="3"/>
      <c r="F109" s="3"/>
      <c r="G109"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87A7-5552-4A81-9C7B-4E10C890C7A9}">
  <sheetPr codeName="Taul3"/>
  <dimension ref="A2:P15"/>
  <sheetViews>
    <sheetView topLeftCell="A4" workbookViewId="0">
      <selection activeCell="X28" sqref="X28"/>
    </sheetView>
  </sheetViews>
  <sheetFormatPr defaultRowHeight="15"/>
  <cols>
    <col min="1" max="1" width="25.85546875" customWidth="1"/>
    <col min="2" max="7" width="9.140625" style="43"/>
    <col min="13" max="13" width="10.5703125" customWidth="1"/>
    <col min="15" max="15" width="12.140625" customWidth="1"/>
  </cols>
  <sheetData>
    <row r="2" spans="1:16">
      <c r="A2" s="125" t="s">
        <v>196</v>
      </c>
      <c r="M2" t="s">
        <v>197</v>
      </c>
    </row>
    <row r="3" spans="1:16" ht="75">
      <c r="B3" s="43" t="s">
        <v>42</v>
      </c>
      <c r="C3" s="43" t="s">
        <v>198</v>
      </c>
      <c r="D3" s="43" t="s">
        <v>199</v>
      </c>
      <c r="E3" s="43" t="s">
        <v>200</v>
      </c>
      <c r="F3" s="43" t="s">
        <v>59</v>
      </c>
      <c r="G3" s="43" t="s">
        <v>138</v>
      </c>
      <c r="I3" s="43" t="s">
        <v>53</v>
      </c>
      <c r="J3" s="43" t="s">
        <v>75</v>
      </c>
      <c r="K3" s="43" t="s">
        <v>201</v>
      </c>
      <c r="M3" t="s">
        <v>202</v>
      </c>
      <c r="N3" t="s">
        <v>203</v>
      </c>
      <c r="O3" s="129" t="s">
        <v>204</v>
      </c>
      <c r="P3" s="129" t="s">
        <v>205</v>
      </c>
    </row>
    <row r="4" spans="1:16">
      <c r="A4" t="str">
        <f>'PK laskenta'!B5</f>
        <v>Opetusrakennus ja päiväkoti</v>
      </c>
      <c r="B4" s="43">
        <f ca="1">'PK laskenta'!D10</f>
        <v>0</v>
      </c>
      <c r="C4" s="43">
        <f ca="1">'PK laskenta'!D18</f>
        <v>0</v>
      </c>
      <c r="D4" s="43" t="e">
        <f>'PK laskenta'!#REF!</f>
        <v>#REF!</v>
      </c>
      <c r="E4" s="43" t="e">
        <f>'PK laskenta'!#REF!</f>
        <v>#REF!</v>
      </c>
      <c r="F4" s="43" t="e">
        <f>'PK laskenta'!#REF!</f>
        <v>#REF!</v>
      </c>
      <c r="G4" s="43" t="e">
        <f>'PK laskenta'!#REF!</f>
        <v>#REF!</v>
      </c>
    </row>
    <row r="5" spans="1:16">
      <c r="M5" t="s">
        <v>206</v>
      </c>
      <c r="N5" t="s">
        <v>207</v>
      </c>
      <c r="O5" t="s">
        <v>208</v>
      </c>
    </row>
    <row r="7" spans="1:16">
      <c r="A7" t="s">
        <v>125</v>
      </c>
      <c r="B7" s="43">
        <v>500</v>
      </c>
      <c r="C7" s="43">
        <v>39.4</v>
      </c>
      <c r="D7" s="43">
        <v>100</v>
      </c>
      <c r="E7" s="43">
        <v>100</v>
      </c>
      <c r="F7" s="43">
        <v>1549.2133600000002</v>
      </c>
      <c r="G7" s="43">
        <v>20</v>
      </c>
      <c r="H7" s="18">
        <f>SUM(B7:G7)</f>
        <v>2308.6133600000003</v>
      </c>
      <c r="I7" s="126">
        <f>(B7+E7)/H7</f>
        <v>0.25989626950785727</v>
      </c>
      <c r="J7" s="126">
        <f>F7/H7</f>
        <v>0.67105795489288855</v>
      </c>
      <c r="K7" s="126">
        <f>1-J7-I7</f>
        <v>6.9045775599254178E-2</v>
      </c>
      <c r="M7" s="126">
        <f>N7*0.3</f>
        <v>9.3948113685004386E-2</v>
      </c>
      <c r="N7" s="128">
        <f>J7*Vertailutaso!S3</f>
        <v>0.31316037895001464</v>
      </c>
      <c r="O7" s="126">
        <f>I7*0.3</f>
        <v>7.7968880852357175E-2</v>
      </c>
      <c r="P7" s="126">
        <f>0.75*I7</f>
        <v>0.19492220213089295</v>
      </c>
    </row>
    <row r="8" spans="1:16">
      <c r="A8" t="s">
        <v>126</v>
      </c>
      <c r="B8" s="43">
        <v>500</v>
      </c>
      <c r="C8" s="43">
        <v>39.4</v>
      </c>
      <c r="D8" s="43">
        <v>100</v>
      </c>
      <c r="E8" s="43">
        <v>100</v>
      </c>
      <c r="F8" s="43">
        <v>1045.1544400000002</v>
      </c>
      <c r="G8" s="43">
        <v>20</v>
      </c>
      <c r="H8" s="18">
        <f t="shared" ref="H8:H14" si="0">SUM(B8:G8)</f>
        <v>1804.5544400000003</v>
      </c>
      <c r="I8" s="126">
        <f t="shared" ref="I8:I14" si="1">(B8+E8)/H8</f>
        <v>0.33249204717813885</v>
      </c>
      <c r="J8" s="126">
        <f t="shared" ref="J8:J14" si="2">F8/H8</f>
        <v>0.57917589895486887</v>
      </c>
      <c r="K8" s="126">
        <f t="shared" ref="K8:K14" si="3">1-J8-I8</f>
        <v>8.8332053866992277E-2</v>
      </c>
      <c r="M8" s="126">
        <f t="shared" ref="M8:M14" si="4">N8*0.3</f>
        <v>7.1431694204433821E-2</v>
      </c>
      <c r="N8" s="128">
        <f>J8*Vertailutaso!S4</f>
        <v>0.23810564734811274</v>
      </c>
      <c r="O8" s="126">
        <f t="shared" ref="O8:O14" si="5">I8*0.3</f>
        <v>9.9747614153441647E-2</v>
      </c>
      <c r="P8" s="126">
        <f t="shared" ref="P8:P14" si="6">0.75*I8</f>
        <v>0.24936903538360414</v>
      </c>
    </row>
    <row r="9" spans="1:16">
      <c r="A9" t="s">
        <v>127</v>
      </c>
      <c r="B9" s="43">
        <v>500</v>
      </c>
      <c r="C9" s="43">
        <v>39.4</v>
      </c>
      <c r="D9" s="43">
        <v>100</v>
      </c>
      <c r="E9" s="43">
        <v>100</v>
      </c>
      <c r="F9" s="43">
        <v>862.98345200000017</v>
      </c>
      <c r="G9" s="43">
        <v>20</v>
      </c>
      <c r="H9" s="18">
        <f t="shared" si="0"/>
        <v>1622.383452</v>
      </c>
      <c r="I9" s="126">
        <f t="shared" si="1"/>
        <v>0.36982625732550928</v>
      </c>
      <c r="J9" s="126">
        <f t="shared" si="2"/>
        <v>0.53192323364501393</v>
      </c>
      <c r="K9" s="126">
        <f t="shared" si="3"/>
        <v>9.8250509029476796E-2</v>
      </c>
      <c r="M9" s="126">
        <f t="shared" si="4"/>
        <v>7.0213866841141823E-2</v>
      </c>
      <c r="N9" s="128">
        <f>J9*Vertailutaso!S5</f>
        <v>0.2340462228038061</v>
      </c>
      <c r="O9" s="126">
        <f t="shared" si="5"/>
        <v>0.11094787719765278</v>
      </c>
      <c r="P9" s="126">
        <f t="shared" si="6"/>
        <v>0.27736969299413194</v>
      </c>
    </row>
    <row r="10" spans="1:16">
      <c r="A10" t="s">
        <v>128</v>
      </c>
      <c r="B10" s="43">
        <v>500</v>
      </c>
      <c r="C10" s="43">
        <v>39.4</v>
      </c>
      <c r="D10" s="43">
        <v>100</v>
      </c>
      <c r="E10" s="43">
        <v>100</v>
      </c>
      <c r="F10" s="43">
        <v>988.15861000000029</v>
      </c>
      <c r="G10" s="43">
        <v>20</v>
      </c>
      <c r="H10" s="18">
        <f t="shared" si="0"/>
        <v>1747.5586100000003</v>
      </c>
      <c r="I10" s="126">
        <f t="shared" si="1"/>
        <v>0.34333612421731591</v>
      </c>
      <c r="J10" s="126">
        <f t="shared" si="2"/>
        <v>0.56545091211561715</v>
      </c>
      <c r="K10" s="126">
        <f t="shared" si="3"/>
        <v>9.1212963667066937E-2</v>
      </c>
      <c r="M10" s="126">
        <f t="shared" si="4"/>
        <v>9.0472145938498741E-2</v>
      </c>
      <c r="N10" s="128">
        <f>J10*Vertailutaso!S6</f>
        <v>0.30157381979499581</v>
      </c>
      <c r="O10" s="126">
        <f t="shared" si="5"/>
        <v>0.10300083726519477</v>
      </c>
      <c r="P10" s="126">
        <f t="shared" si="6"/>
        <v>0.25750209316298694</v>
      </c>
    </row>
    <row r="11" spans="1:16">
      <c r="A11" t="s">
        <v>129</v>
      </c>
      <c r="B11" s="43">
        <v>500</v>
      </c>
      <c r="C11" s="43">
        <v>39.4</v>
      </c>
      <c r="D11" s="43">
        <v>100</v>
      </c>
      <c r="E11" s="43">
        <v>100</v>
      </c>
      <c r="F11" s="43">
        <v>1920.0005999999998</v>
      </c>
      <c r="G11" s="43">
        <v>20</v>
      </c>
      <c r="H11" s="18">
        <f t="shared" si="0"/>
        <v>2679.4005999999999</v>
      </c>
      <c r="I11" s="126">
        <f t="shared" si="1"/>
        <v>0.2239306806156571</v>
      </c>
      <c r="J11" s="126">
        <f t="shared" si="2"/>
        <v>0.71657840190078326</v>
      </c>
      <c r="K11" s="126">
        <f t="shared" si="3"/>
        <v>5.9490917483559641E-2</v>
      </c>
      <c r="M11" s="126">
        <f t="shared" si="4"/>
        <v>0.13032769684570494</v>
      </c>
      <c r="N11" s="128">
        <f>J11*Vertailutaso!S7</f>
        <v>0.43442565615234979</v>
      </c>
      <c r="O11" s="126">
        <f t="shared" si="5"/>
        <v>6.7179204184697125E-2</v>
      </c>
      <c r="P11" s="126">
        <f t="shared" si="6"/>
        <v>0.16794801046174282</v>
      </c>
    </row>
    <row r="12" spans="1:16">
      <c r="A12" t="s">
        <v>31</v>
      </c>
      <c r="B12" s="43">
        <v>500</v>
      </c>
      <c r="C12" s="43">
        <v>39.4</v>
      </c>
      <c r="D12" s="43">
        <v>100</v>
      </c>
      <c r="E12" s="43">
        <v>100</v>
      </c>
      <c r="F12" s="43">
        <v>1277.6929560000003</v>
      </c>
      <c r="G12" s="43">
        <v>20</v>
      </c>
      <c r="H12" s="18">
        <f t="shared" si="0"/>
        <v>2037.0929560000004</v>
      </c>
      <c r="I12" s="126">
        <f t="shared" si="1"/>
        <v>0.294537369162647</v>
      </c>
      <c r="J12" s="126">
        <f t="shared" si="2"/>
        <v>0.62721386976314308</v>
      </c>
      <c r="K12" s="126">
        <f t="shared" si="3"/>
        <v>7.8248761074209916E-2</v>
      </c>
      <c r="M12" s="126">
        <f t="shared" si="4"/>
        <v>6.9620739543708884E-2</v>
      </c>
      <c r="N12" s="128">
        <f>J12*Vertailutaso!S8</f>
        <v>0.23206913181236294</v>
      </c>
      <c r="O12" s="126">
        <f t="shared" si="5"/>
        <v>8.8361210748794092E-2</v>
      </c>
      <c r="P12" s="126">
        <f t="shared" si="6"/>
        <v>0.22090302687198526</v>
      </c>
    </row>
    <row r="13" spans="1:16">
      <c r="A13" t="s">
        <v>130</v>
      </c>
      <c r="B13" s="43">
        <v>500</v>
      </c>
      <c r="C13" s="43">
        <v>39.4</v>
      </c>
      <c r="D13" s="43">
        <v>100</v>
      </c>
      <c r="E13" s="43">
        <v>100</v>
      </c>
      <c r="F13" s="43">
        <v>1291.0723000000003</v>
      </c>
      <c r="G13" s="43">
        <v>20</v>
      </c>
      <c r="H13" s="18">
        <f t="shared" si="0"/>
        <v>2050.4723000000004</v>
      </c>
      <c r="I13" s="126">
        <f t="shared" si="1"/>
        <v>0.29261551107030309</v>
      </c>
      <c r="J13" s="126">
        <f t="shared" si="2"/>
        <v>0.62964630148868628</v>
      </c>
      <c r="K13" s="126">
        <f t="shared" si="3"/>
        <v>7.7738187441010631E-2</v>
      </c>
      <c r="M13" s="126">
        <f t="shared" si="4"/>
        <v>6.989073946524417E-2</v>
      </c>
      <c r="N13" s="128">
        <f>J13*Vertailutaso!S9</f>
        <v>0.23296913155081392</v>
      </c>
      <c r="O13" s="126">
        <f t="shared" si="5"/>
        <v>8.7784653321090922E-2</v>
      </c>
      <c r="P13" s="126">
        <f t="shared" si="6"/>
        <v>0.21946163330272733</v>
      </c>
    </row>
    <row r="14" spans="1:16">
      <c r="A14" t="s">
        <v>131</v>
      </c>
      <c r="B14" s="43">
        <v>500</v>
      </c>
      <c r="C14" s="43">
        <v>39.4</v>
      </c>
      <c r="D14" s="43">
        <v>100</v>
      </c>
      <c r="E14" s="43">
        <v>100</v>
      </c>
      <c r="F14" s="43">
        <v>3544.62248</v>
      </c>
      <c r="G14" s="43">
        <v>20</v>
      </c>
      <c r="H14" s="18">
        <f t="shared" si="0"/>
        <v>4304.0224799999996</v>
      </c>
      <c r="I14" s="126">
        <f t="shared" si="1"/>
        <v>0.13940447634464959</v>
      </c>
      <c r="J14" s="126">
        <f t="shared" si="2"/>
        <v>0.82356040110645523</v>
      </c>
      <c r="K14" s="126">
        <f t="shared" si="3"/>
        <v>3.7035122548895183E-2</v>
      </c>
      <c r="M14" s="126">
        <f t="shared" si="4"/>
        <v>0.16599889334801987</v>
      </c>
      <c r="N14" s="128">
        <f>J14*Vertailutaso!S10</f>
        <v>0.55332964449339961</v>
      </c>
      <c r="O14" s="126">
        <f t="shared" si="5"/>
        <v>4.1821342903394877E-2</v>
      </c>
      <c r="P14" s="126">
        <f t="shared" si="6"/>
        <v>0.10455335725848719</v>
      </c>
    </row>
    <row r="15" spans="1:16">
      <c r="P15" s="12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 Rintala</dc:creator>
  <cp:keywords/>
  <dc:description/>
  <cp:lastModifiedBy/>
  <cp:revision/>
  <dcterms:created xsi:type="dcterms:W3CDTF">2016-04-29T15:03:36Z</dcterms:created>
  <dcterms:modified xsi:type="dcterms:W3CDTF">2025-03-21T14:12:06Z</dcterms:modified>
  <cp:category/>
  <cp:contentStatus/>
</cp:coreProperties>
</file>